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5fiscal.sharepoint.com/Shared Documents/New Mexico/child care cost model/Public Models/FY24/"/>
    </mc:Choice>
  </mc:AlternateContent>
  <xr:revisionPtr revIDLastSave="0" documentId="8_{02547FB7-345A-4F44-8139-ADF918A6F98C}" xr6:coauthVersionLast="47" xr6:coauthVersionMax="47" xr10:uidLastSave="{00000000-0000-0000-0000-000000000000}"/>
  <workbookProtection workbookAlgorithmName="SHA-512" workbookHashValue="UI6lS+DXvZans+keDJaZkn7UdarHBSa7GS6RUcU9KIS08GKnvPGFRWP6TuokN8xkbU94HAu/O4dtdAjmfs7n9Q==" workbookSaltValue="+/LBLGyppzdijBXEmfNwGg==" workbookSpinCount="100000" lockStructure="1"/>
  <bookViews>
    <workbookView xWindow="6060" yWindow="500" windowWidth="22740" windowHeight="16820" activeTab="2" xr2:uid="{058427AB-F779-2141-A2E5-910541989633}"/>
  </bookViews>
  <sheets>
    <sheet name="VariablesINPUT-CTR" sheetId="35" state="hidden" r:id="rId1"/>
    <sheet name="Quality Center Profile" sheetId="1" state="hidden" r:id="rId2"/>
    <sheet name="VariablesINPUT-FCC" sheetId="100" r:id="rId3"/>
    <sheet name="QualityHomeProfile" sheetId="101" state="hidden" r:id="rId4"/>
    <sheet name="Ratios" sheetId="90" state="hidden" r:id="rId5"/>
    <sheet name="Wages" sheetId="91" state="hidden" r:id="rId6"/>
    <sheet name="Nonpersonnel" sheetId="77" state="hidden" r:id="rId7"/>
    <sheet name="Subsidy rates" sheetId="102" state="hidden" r:id="rId8"/>
    <sheet name="Tuition Rates" sheetId="104" state="hidden" r:id="rId9"/>
    <sheet name="Fed CACFP" sheetId="103" state="hidden" r:id="rId10"/>
    <sheet name="PreK" sheetId="105" state="hidden" r:id="rId11"/>
    <sheet name="NOTES" sheetId="107" state="hidden" r:id="rId12"/>
  </sheets>
  <externalReferences>
    <externalReference r:id="rId13"/>
    <externalReference r:id="rId14"/>
    <externalReference r:id="rId15"/>
  </externalReferences>
  <definedNames>
    <definedName name="_NumberTeachingStaff">'Quality Center Profile'!$A$29</definedName>
    <definedName name="AAdegree" localSheetId="9">'[1]VariablesINPUT-CTR'!#REF!</definedName>
    <definedName name="AAdegree" localSheetId="10">'[1]VariablesINPUT-CTR'!#REF!</definedName>
    <definedName name="AAdegree" localSheetId="8">'[1]VariablesINPUT-CTR'!#REF!</definedName>
    <definedName name="AAdegree">'VariablesINPUT-CTR'!#REF!</definedName>
    <definedName name="AdditionalBenefits" localSheetId="9">'[1]Quality Center Profile'!$D$42</definedName>
    <definedName name="AdditionalBenefits" localSheetId="10">'[1]Quality Center Profile'!$D$42</definedName>
    <definedName name="AdditionalBenefits" localSheetId="8">'[1]Quality Center Profile'!$D$42</definedName>
    <definedName name="AdditionalBenefits" localSheetId="2">'[2]Quality Center Profile'!$D$42</definedName>
    <definedName name="AdditionalBenefits">'Quality Center Profile'!$D$45</definedName>
    <definedName name="Addl_benefits_per_staff" localSheetId="9">'[1]Quality Center Profile'!$C$42</definedName>
    <definedName name="Addl_benefits_per_staff" localSheetId="10">'[1]Quality Center Profile'!$C$42</definedName>
    <definedName name="Addl_benefits_per_staff" localSheetId="8">'[1]Quality Center Profile'!$C$42</definedName>
    <definedName name="Addl_benefits_per_staff">'Quality Center Profile'!$C$45</definedName>
    <definedName name="Admin_Staff" localSheetId="9">'[1]Quality Center Profile'!$D$21</definedName>
    <definedName name="Admin_Staff" localSheetId="10">'[1]Quality Center Profile'!$D$21</definedName>
    <definedName name="Admin_Staff" localSheetId="8">'[1]Quality Center Profile'!$D$21</definedName>
    <definedName name="Admin_Staff" localSheetId="2">'[2]Quality Center Profile'!$D$21</definedName>
    <definedName name="Admin_Staff">'Quality Center Profile'!$D$21</definedName>
    <definedName name="Administration__by_child">#REF!</definedName>
    <definedName name="Asst_Teacher" localSheetId="9">'[1]Quality Center Profile'!$D$24</definedName>
    <definedName name="Asst_Teacher" localSheetId="10">'[1]Quality Center Profile'!$D$24</definedName>
    <definedName name="Asst_Teacher" localSheetId="8">'[1]Quality Center Profile'!$D$24</definedName>
    <definedName name="Asst_Teacher" localSheetId="2">'[2]Quality Center Profile'!$D$24</definedName>
    <definedName name="Asst_Teacher">'Quality Center Profile'!$D$24</definedName>
    <definedName name="BadDebt" localSheetId="9">'[1]VariablesINPUT-CTR'!$E$15</definedName>
    <definedName name="BadDebt" localSheetId="10">'[1]VariablesINPUT-CTR'!$E$15</definedName>
    <definedName name="BadDebt" localSheetId="8">'[1]VariablesINPUT-CTR'!$E$15</definedName>
    <definedName name="BadDebt">'VariablesINPUT-CTR'!$E$20</definedName>
    <definedName name="BAdegree" localSheetId="9">'[1]VariablesINPUT-CTR'!#REF!</definedName>
    <definedName name="BAdegree" localSheetId="10">'[1]VariablesINPUT-CTR'!#REF!</definedName>
    <definedName name="BAdegree" localSheetId="8">'[1]VariablesINPUT-CTR'!#REF!</definedName>
    <definedName name="BAdegree">'VariablesINPUT-CTR'!#REF!</definedName>
    <definedName name="BLSsalary" localSheetId="9">'[1]VariablesINPUT-CTR'!#REF!</definedName>
    <definedName name="BLSsalary" localSheetId="10">'[1]VariablesINPUT-CTR'!#REF!</definedName>
    <definedName name="BLSsalary" localSheetId="8">'[1]VariablesINPUT-CTR'!#REF!</definedName>
    <definedName name="BLSsalary">'VariablesINPUT-FCC'!#REF!</definedName>
    <definedName name="City_Fours">#REF!</definedName>
    <definedName name="City_Infants">#REF!</definedName>
    <definedName name="City_Threes">#REF!</definedName>
    <definedName name="City_Toddlers">#REF!</definedName>
    <definedName name="COunty" localSheetId="9">'[1]VariablesINPUT-CTR'!#REF!</definedName>
    <definedName name="COunty" localSheetId="10">'[1]VariablesINPUT-CTR'!#REF!</definedName>
    <definedName name="COunty" localSheetId="8">'[1]VariablesINPUT-CTR'!#REF!</definedName>
    <definedName name="COunty">'VariablesINPUT-CTR'!#REF!</definedName>
    <definedName name="Education_Program__by_child">#REF!</definedName>
    <definedName name="EnhRatio" localSheetId="9">'[1]VariablesINPUT-CTR'!$D$19</definedName>
    <definedName name="EnhRatio" localSheetId="10">'[1]VariablesINPUT-CTR'!$D$19</definedName>
    <definedName name="EnhRatio" localSheetId="8">'[1]VariablesINPUT-CTR'!$D$19</definedName>
    <definedName name="EnhRatio">'VariablesINPUT-CTR'!#REF!</definedName>
    <definedName name="EnhSpace" localSheetId="9">'[1]VariablesINPUT-CTR'!$D$18</definedName>
    <definedName name="EnhSpace" localSheetId="10">'[1]VariablesINPUT-CTR'!$D$18</definedName>
    <definedName name="EnhSpace" localSheetId="8">'[1]VariablesINPUT-CTR'!$D$18</definedName>
    <definedName name="EnhSpace">'VariablesINPUT-CTR'!#REF!</definedName>
    <definedName name="EnrollEffic" localSheetId="9">'[1]VariablesINPUT-CTR'!$E$14</definedName>
    <definedName name="EnrollEffic" localSheetId="10">'[1]VariablesINPUT-CTR'!$E$14</definedName>
    <definedName name="EnrollEffic" localSheetId="8">'[1]VariablesINPUT-CTR'!$E$14</definedName>
    <definedName name="EnrollEffic">'VariablesINPUT-CTR'!$E$19</definedName>
    <definedName name="Floater_Assts" localSheetId="9">'[1]Quality Center Profile'!$D$25</definedName>
    <definedName name="Floater_Assts" localSheetId="10">'[1]Quality Center Profile'!$D$25</definedName>
    <definedName name="Floater_Assts" localSheetId="8">'[1]Quality Center Profile'!$D$25</definedName>
    <definedName name="Floater_Assts" localSheetId="2">'[2]Quality Center Profile'!$D$25</definedName>
    <definedName name="Floater_Assts">'Quality Center Profile'!$D$27</definedName>
    <definedName name="Fours" localSheetId="9">'[1]Quality Center Profile'!$A$11</definedName>
    <definedName name="Fours" localSheetId="10">'[1]Quality Center Profile'!$A$11</definedName>
    <definedName name="Fours" localSheetId="8">'[1]Quality Center Profile'!$A$11</definedName>
    <definedName name="Fours">'Quality Center Profile'!#REF!</definedName>
    <definedName name="Fours_Private_Tuition" localSheetId="2">'VariablesINPUT-FCC'!#REF!</definedName>
    <definedName name="Fours_Private_Tuition">'VariablesINPUT-CTR'!#REF!</definedName>
    <definedName name="FOURS_Tuition">#REF!</definedName>
    <definedName name="FoursClassrooms" localSheetId="9">'[1]Quality Center Profile'!$F$11</definedName>
    <definedName name="FoursClassrooms" localSheetId="10">'[1]Quality Center Profile'!$F$11</definedName>
    <definedName name="FoursClassrooms" localSheetId="8">'[1]Quality Center Profile'!$F$11</definedName>
    <definedName name="FoursClassrooms">'Quality Center Profile'!#REF!</definedName>
    <definedName name="GRT">'Quality Center Profile'!$D$57</definedName>
    <definedName name="HealthIns" localSheetId="9">'[1]VariablesINPUT-CTR'!$D$25</definedName>
    <definedName name="HealthIns" localSheetId="10">'[1]VariablesINPUT-CTR'!$D$25</definedName>
    <definedName name="HealthIns" localSheetId="8">'[1]VariablesINPUT-CTR'!$D$25</definedName>
    <definedName name="HealthIns">'VariablesINPUT-CTR'!$D$27</definedName>
    <definedName name="HealthInsFCC">'VariablesINPUT-FCC'!$D$27</definedName>
    <definedName name="Infant_Aides" localSheetId="9">'[1]Quality Center Profile'!#REF!</definedName>
    <definedName name="Infant_Aides" localSheetId="10">'[1]Quality Center Profile'!#REF!</definedName>
    <definedName name="Infant_Aides" localSheetId="8">'[1]Quality Center Profile'!#REF!</definedName>
    <definedName name="Infant_Aides" localSheetId="2">'[2]Quality Center Profile'!#REF!</definedName>
    <definedName name="Infant_Aides">'Quality Center Profile'!#REF!</definedName>
    <definedName name="Infant_Assts" localSheetId="9">'[1]Quality Center Profile'!#REF!</definedName>
    <definedName name="Infant_Assts" localSheetId="10">'[1]Quality Center Profile'!#REF!</definedName>
    <definedName name="Infant_Assts" localSheetId="8">'[1]Quality Center Profile'!#REF!</definedName>
    <definedName name="Infant_Assts" localSheetId="2">'[2]Quality Center Profile'!#REF!</definedName>
    <definedName name="Infant_Assts">'Quality Center Profile'!#REF!</definedName>
    <definedName name="INFANT_Tuition">#REF!</definedName>
    <definedName name="InfantClassrooms" localSheetId="9">'[1]Quality Center Profile'!$F$7</definedName>
    <definedName name="InfantClassrooms" localSheetId="10">'[1]Quality Center Profile'!$F$7</definedName>
    <definedName name="InfantClassrooms" localSheetId="8">'[1]Quality Center Profile'!$F$7</definedName>
    <definedName name="InfantClassrooms" localSheetId="2">'[2]Quality Center Profile'!$F$7</definedName>
    <definedName name="InfantClassrooms">'Quality Center Profile'!$F$7</definedName>
    <definedName name="Infants" localSheetId="9">'[1]Quality Center Profile'!$A$7</definedName>
    <definedName name="Infants" localSheetId="10">'[1]Quality Center Profile'!$A$7</definedName>
    <definedName name="Infants" localSheetId="8">'[1]Quality Center Profile'!$A$7</definedName>
    <definedName name="Infants" localSheetId="2">'[2]Quality Center Profile'!$A$7</definedName>
    <definedName name="Infants">'Quality Center Profile'!$A$7</definedName>
    <definedName name="Infants_Private_Tuition" localSheetId="2">'VariablesINPUT-FCC'!#REF!</definedName>
    <definedName name="Infants_Private_Tuition">'VariablesINPUT-CTR'!#REF!</definedName>
    <definedName name="Kinder">'VariablesINPUT-CTR'!#REF!</definedName>
    <definedName name="KinderParity" localSheetId="9">'[1]VariablesINPUT-CTR'!$D$20</definedName>
    <definedName name="KinderParity" localSheetId="10">'[1]VariablesINPUT-CTR'!$D$20</definedName>
    <definedName name="KinderParity" localSheetId="8">'[1]VariablesINPUT-CTR'!$D$20</definedName>
    <definedName name="KinderParity">'VariablesINPUT-FCC'!$D$22</definedName>
    <definedName name="LeadTeacher" localSheetId="9">'[1]Quality Center Profile'!$D$23</definedName>
    <definedName name="LeadTeacher" localSheetId="10">'[1]Quality Center Profile'!$D$23</definedName>
    <definedName name="LeadTeacher" localSheetId="8">'[1]Quality Center Profile'!$D$23</definedName>
    <definedName name="LeadTeacher" localSheetId="2">'[2]Quality Center Profile'!$D$23</definedName>
    <definedName name="LeadTeacher">'Quality Center Profile'!$D$23</definedName>
    <definedName name="MandatoryBenefits" localSheetId="9">'[1]Quality Center Profile'!$D$40</definedName>
    <definedName name="MandatoryBenefits" localSheetId="10">'[1]Quality Center Profile'!$D$40</definedName>
    <definedName name="MandatoryBenefits" localSheetId="8">'[1]Quality Center Profile'!$D$40</definedName>
    <definedName name="MandatoryBenefits" localSheetId="2">'[2]Quality Center Profile'!$D$40</definedName>
    <definedName name="MandatoryBenefits">'Quality Center Profile'!$D$43</definedName>
    <definedName name="MinWage">'VariablesINPUT-CTR'!#REF!</definedName>
    <definedName name="ModelScale" localSheetId="9">'[1]VariablesINPUT-CTR'!#REF!</definedName>
    <definedName name="ModelScale" localSheetId="10">'[1]VariablesINPUT-CTR'!#REF!</definedName>
    <definedName name="ModelScale" localSheetId="8">'[1]VariablesINPUT-CTR'!#REF!</definedName>
    <definedName name="ModelScale">'VariablesINPUT-CTR'!#REF!</definedName>
    <definedName name="Nonpersonnel" localSheetId="9">'[1]Quality Center Profile'!$D$49</definedName>
    <definedName name="Nonpersonnel" localSheetId="10">'[1]Quality Center Profile'!$D$49</definedName>
    <definedName name="Nonpersonnel" localSheetId="8">'[1]Quality Center Profile'!$D$49</definedName>
    <definedName name="Nonpersonnel" localSheetId="2">'[2]Quality Center Profile'!$D$49</definedName>
    <definedName name="Nonpersonnel">'Quality Center Profile'!$D$54</definedName>
    <definedName name="NP_EdProgram" localSheetId="9">'[1]Quality Center Profile'!$D$46</definedName>
    <definedName name="NP_EdProgram" localSheetId="10">'[1]Quality Center Profile'!$D$46</definedName>
    <definedName name="NP_EdProgram" localSheetId="8">'[1]Quality Center Profile'!$D$46</definedName>
    <definedName name="NP_EdProgram" localSheetId="2">'[2]Quality Center Profile'!$D$46</definedName>
    <definedName name="NP_EdProgram">'Quality Center Profile'!$D$49</definedName>
    <definedName name="NP_MgtAdmin" localSheetId="9">'[1]Quality Center Profile'!$D$48</definedName>
    <definedName name="NP_MgtAdmin" localSheetId="10">'[1]Quality Center Profile'!$D$48</definedName>
    <definedName name="NP_MgtAdmin" localSheetId="8">'[1]Quality Center Profile'!$D$48</definedName>
    <definedName name="NP_MgtAdmin" localSheetId="2">'[2]Quality Center Profile'!$D$48</definedName>
    <definedName name="NP_MgtAdmin">'Quality Center Profile'!$D$51</definedName>
    <definedName name="NP_Occupancy" localSheetId="9">'[1]Quality Center Profile'!$D$47</definedName>
    <definedName name="NP_Occupancy" localSheetId="10">'[1]Quality Center Profile'!$D$47</definedName>
    <definedName name="NP_Occupancy" localSheetId="8">'[1]Quality Center Profile'!$D$47</definedName>
    <definedName name="NP_Occupancy" localSheetId="2">'[2]Quality Center Profile'!$D$47</definedName>
    <definedName name="NP_Occupancy">'Quality Center Profile'!$D$50</definedName>
    <definedName name="Occupancy">'Quality Center Profile'!$D$50</definedName>
    <definedName name="Occupancy__by_classroom">#REF!</definedName>
    <definedName name="Ones_Private_Tuition">'VariablesINPUT-CTR'!#REF!</definedName>
    <definedName name="Paid_Leave" localSheetId="9">'[1]VariablesINPUT-CTR'!$D$27</definedName>
    <definedName name="Paid_Leave" localSheetId="10">'[1]VariablesINPUT-CTR'!$D$27</definedName>
    <definedName name="Paid_Leave" localSheetId="8">'[1]VariablesINPUT-CTR'!$D$27</definedName>
    <definedName name="Paid_Leave">'VariablesINPUT-CTR'!$D$29</definedName>
    <definedName name="PaidLeaveFCC">'VariablesINPUT-FCC'!$D$29</definedName>
    <definedName name="Personnel" localSheetId="9">'[1]Quality Center Profile'!$D$43</definedName>
    <definedName name="Personnel" localSheetId="10">'[1]Quality Center Profile'!$D$43</definedName>
    <definedName name="Personnel" localSheetId="8">'[1]Quality Center Profile'!$D$43</definedName>
    <definedName name="Personnel">'Quality Center Profile'!$D$46</definedName>
    <definedName name="Pre3Children">'Quality Center Profile'!$A$9</definedName>
    <definedName name="Pre4Children">'Quality Center Profile'!$A$10</definedName>
    <definedName name="Pre4classroom">'Quality Center Profile'!$F$10</definedName>
    <definedName name="Preschool_Aides" localSheetId="9">'[1]Quality Center Profile'!#REF!</definedName>
    <definedName name="Preschool_Aides" localSheetId="10">'[1]Quality Center Profile'!#REF!</definedName>
    <definedName name="Preschool_Aides" localSheetId="8">'[1]Quality Center Profile'!#REF!</definedName>
    <definedName name="Preschool_Aides" localSheetId="2">'[2]Quality Center Profile'!#REF!</definedName>
    <definedName name="Preschool_Aides">'Quality Center Profile'!#REF!</definedName>
    <definedName name="PreschoolClassrooms">'Quality Center Profile'!#REF!</definedName>
    <definedName name="Preschoolers">'Quality Center Profile'!$A$9</definedName>
    <definedName name="PreschoolersClassroom">'Quality Center Profile'!$F$9</definedName>
    <definedName name="PreschoolersClassroom3">'Quality Center Profile'!$F$9</definedName>
    <definedName name="_xlnm.Print_Area" localSheetId="3">QualityHomeProfile!$O$6:$W$14</definedName>
    <definedName name="_xlnm.Print_Area" localSheetId="0">'VariablesINPUT-CTR'!$A$2:$M$21</definedName>
    <definedName name="_xlnm.Print_Area" localSheetId="2">'VariablesINPUT-FCC'!$A$2:$K$21</definedName>
    <definedName name="ProfDev" localSheetId="9">'[1]VariablesINPUT-CTR'!$D$23</definedName>
    <definedName name="ProfDev" localSheetId="10">'[1]VariablesINPUT-CTR'!$D$23</definedName>
    <definedName name="ProfDev" localSheetId="8">'[1]VariablesINPUT-CTR'!$D$23</definedName>
    <definedName name="ProfDev">'VariablesINPUT-CTR'!#REF!</definedName>
    <definedName name="QualityVarCost">'[3]Quality Home Profile'!$D$50</definedName>
    <definedName name="RatioOpt">'VariablesINPUT-CTR'!$G$2</definedName>
    <definedName name="Region" localSheetId="9">'[1]VariablesINPUT-CTR'!$G$2</definedName>
    <definedName name="Region" localSheetId="10">'[1]VariablesINPUT-CTR'!$G$2</definedName>
    <definedName name="Region" localSheetId="8">'[1]VariablesINPUT-CTR'!$G$2</definedName>
    <definedName name="Region">'VariablesINPUT-CTR'!$G$3</definedName>
    <definedName name="RegionFCC">'VariablesINPUT-FCC'!$F$3</definedName>
    <definedName name="Reserve_Fund" localSheetId="9">'[1]Quality Center Profile'!$D$51</definedName>
    <definedName name="Reserve_Fund" localSheetId="10">'[1]Quality Center Profile'!$D$51</definedName>
    <definedName name="Reserve_Fund" localSheetId="8">'[1]Quality Center Profile'!$D$51</definedName>
    <definedName name="Reserve_Fund" localSheetId="2">'[2]Quality Center Profile'!$D$51</definedName>
    <definedName name="Reserve_Fund">'Quality Center Profile'!$D$56</definedName>
    <definedName name="Reserve_Fund2">'[3]Quality Home Profile'!$D$59</definedName>
    <definedName name="Salary">'VariablesINPUT-CTR'!$D$23</definedName>
    <definedName name="SalaryData" localSheetId="9">'[1]VariablesINPUT-CTR'!#REF!</definedName>
    <definedName name="SalaryData" localSheetId="10">'[1]VariablesINPUT-CTR'!#REF!</definedName>
    <definedName name="SalaryData" localSheetId="8">'[1]VariablesINPUT-CTR'!#REF!</definedName>
    <definedName name="SalaryData">'VariablesINPUT-CTR'!#REF!</definedName>
    <definedName name="SalaryLevel">'VariablesINPUT-CTR'!$D$23</definedName>
    <definedName name="SalaryScale" localSheetId="9">'[1]VariablesINPUT-CTR'!$D$21</definedName>
    <definedName name="SalaryScale" localSheetId="10">'[1]VariablesINPUT-CTR'!$D$21</definedName>
    <definedName name="SalaryScale" localSheetId="8">'[1]VariablesINPUT-CTR'!$D$21</definedName>
    <definedName name="SalaryScale">'VariablesINPUT-CTR'!#REF!</definedName>
    <definedName name="SalaryScaleFCC">'VariablesINPUT-FCC'!$D$23</definedName>
    <definedName name="SchoolageClassroom">'Quality Center Profile'!$F$11</definedName>
    <definedName name="Schoolagers">'Quality Center Profile'!$A$11</definedName>
    <definedName name="Sick_Days" localSheetId="9">'[1]VariablesINPUT-CTR'!$D$26</definedName>
    <definedName name="Sick_Days" localSheetId="10">'[1]VariablesINPUT-CTR'!$D$26</definedName>
    <definedName name="Sick_Days" localSheetId="8">'[1]VariablesINPUT-CTR'!$D$26</definedName>
    <definedName name="Sick_Days">'VariablesINPUT-CTR'!$D$28</definedName>
    <definedName name="SickDaysFCC">'VariablesINPUT-FCC'!$D$28</definedName>
    <definedName name="StarLevel" localSheetId="9">'[1]VariablesINPUT-CTR'!$G$1</definedName>
    <definedName name="StarLevel" localSheetId="10">'[1]VariablesINPUT-CTR'!$G$1</definedName>
    <definedName name="StarLevel" localSheetId="8">'[1]VariablesINPUT-CTR'!$G$1</definedName>
    <definedName name="StarLevel">'VariablesINPUT-CTR'!$G$2</definedName>
    <definedName name="Subs" localSheetId="9">'[1]Quality Center Profile'!$D$32</definedName>
    <definedName name="Subs" localSheetId="10">'[1]Quality Center Profile'!$D$32</definedName>
    <definedName name="Subs" localSheetId="8">'[1]Quality Center Profile'!$D$32</definedName>
    <definedName name="Subs" localSheetId="2">'[2]Quality Center Profile'!$D$32</definedName>
    <definedName name="Subs">'Quality Center Profile'!$D$35</definedName>
    <definedName name="Threes" localSheetId="9">'[1]Quality Center Profile'!$A$10</definedName>
    <definedName name="Threes" localSheetId="10">'[1]Quality Center Profile'!$A$10</definedName>
    <definedName name="Threes" localSheetId="8">'[1]Quality Center Profile'!$A$10</definedName>
    <definedName name="Threes">'Quality Center Profile'!#REF!</definedName>
    <definedName name="Threes_Private_Tuition" localSheetId="2">'VariablesINPUT-FCC'!#REF!</definedName>
    <definedName name="Threes_Private_Tuition">'VariablesINPUT-CTR'!#REF!</definedName>
    <definedName name="THREES_tuition">#REF!</definedName>
    <definedName name="ThreesClassroom">'Quality Center Profile'!#REF!</definedName>
    <definedName name="ThreesClassrooms" localSheetId="9">'[1]Quality Center Profile'!$F$10</definedName>
    <definedName name="ThreesClassrooms" localSheetId="10">'[1]Quality Center Profile'!$F$10</definedName>
    <definedName name="ThreesClassrooms" localSheetId="8">'[1]Quality Center Profile'!$F$10</definedName>
    <definedName name="ThreesClassrooms">'Quality Center Profile'!$F$9</definedName>
    <definedName name="TODDLER_Tuition">#REF!</definedName>
    <definedName name="ToddlerClassrooms" localSheetId="9">'[1]Quality Center Profile'!$F$8</definedName>
    <definedName name="ToddlerClassrooms" localSheetId="10">'[1]Quality Center Profile'!$F$8</definedName>
    <definedName name="ToddlerClassrooms" localSheetId="8">'[1]Quality Center Profile'!$F$8</definedName>
    <definedName name="ToddlerClassrooms" localSheetId="2">'[2]Quality Center Profile'!$F$8</definedName>
    <definedName name="ToddlerClassrooms">'Quality Center Profile'!$F$8</definedName>
    <definedName name="Toddlers" localSheetId="9">'[1]Quality Center Profile'!$A$8</definedName>
    <definedName name="Toddlers" localSheetId="10">'[1]Quality Center Profile'!$A$8</definedName>
    <definedName name="Toddlers" localSheetId="8">'[1]Quality Center Profile'!$A$8</definedName>
    <definedName name="Toddlers" localSheetId="2">'[2]Quality Center Profile'!$A$8</definedName>
    <definedName name="Toddlers">'Quality Center Profile'!$A$8</definedName>
    <definedName name="TOTAL_Children">#REF!</definedName>
    <definedName name="TotalChildren" localSheetId="9">'[1]Quality Center Profile'!$A$12</definedName>
    <definedName name="TotalChildren" localSheetId="10">'[1]Quality Center Profile'!$A$12</definedName>
    <definedName name="TotalChildren" localSheetId="8">'[1]Quality Center Profile'!$A$12</definedName>
    <definedName name="TotalChildren" localSheetId="2">'[2]Quality Center Profile'!$A$12</definedName>
    <definedName name="TotalChildren">'Quality Center Profile'!$A$12</definedName>
    <definedName name="TotalClassrooms" localSheetId="9">'[1]Quality Center Profile'!$F$12</definedName>
    <definedName name="TotalClassrooms" localSheetId="10">'[1]Quality Center Profile'!$F$12</definedName>
    <definedName name="TotalClassrooms" localSheetId="8">'[1]Quality Center Profile'!$F$12</definedName>
    <definedName name="TotalClassrooms" localSheetId="2">'[2]Quality Center Profile'!$F$12</definedName>
    <definedName name="TotalClassrooms">'Quality Center Profile'!$F$12</definedName>
    <definedName name="Twos" localSheetId="9">'[1]Quality Center Profile'!$A$9</definedName>
    <definedName name="Twos" localSheetId="10">'[1]Quality Center Profile'!$A$9</definedName>
    <definedName name="Twos" localSheetId="8">'[1]Quality Center Profile'!$A$9</definedName>
    <definedName name="Twos">'Quality Center Profile'!$A$9</definedName>
    <definedName name="Twos_Private_Tuition">'VariablesINPUT-CTR'!#REF!</definedName>
    <definedName name="TwosClassroom">'Quality Center Profile'!$F$9</definedName>
    <definedName name="TwosClassrooms" localSheetId="9">'[1]Quality Center Profile'!$F$9</definedName>
    <definedName name="TwosClassrooms" localSheetId="10">'[1]Quality Center Profile'!$F$9</definedName>
    <definedName name="TwosClassrooms" localSheetId="8">'[1]Quality Center Profile'!$F$9</definedName>
    <definedName name="TwosClassrooms">'Quality Center Profile'!$F$9</definedName>
    <definedName name="User">'VariablesINPUT-CTR'!#REF!</definedName>
    <definedName name="VOUCHER_Fours">#REF!</definedName>
    <definedName name="VOUCHER_Infants">#REF!</definedName>
    <definedName name="VOUCHER_Threes">#REF!</definedName>
    <definedName name="VOUCHER_Toddlers">#REF!</definedName>
    <definedName name="Yes" localSheetId="9">'[1]VariablesINPUT-CTR'!#REF!</definedName>
    <definedName name="Yes" localSheetId="10">'[1]VariablesINPUT-CTR'!#REF!</definedName>
    <definedName name="Yes" localSheetId="8">'[1]VariablesINPUT-CTR'!#REF!</definedName>
    <definedName name="Yes">'VariablesINPUT-CTR'!#REF!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02" l="1"/>
  <c r="C5" i="102"/>
  <c r="C12" i="100"/>
  <c r="E13" i="100" s="1"/>
  <c r="E12" i="100" l="1"/>
  <c r="I17" i="101"/>
  <c r="J17" i="101"/>
  <c r="K17" i="101"/>
  <c r="H17" i="101"/>
  <c r="I16" i="101"/>
  <c r="J16" i="101"/>
  <c r="K16" i="101"/>
  <c r="H16" i="101"/>
  <c r="D1" i="101"/>
  <c r="I63" i="100"/>
  <c r="H63" i="100"/>
  <c r="G63" i="100"/>
  <c r="D63" i="1"/>
  <c r="D64" i="1"/>
  <c r="J9" i="103"/>
  <c r="D40" i="100"/>
  <c r="D41" i="100"/>
  <c r="D42" i="100"/>
  <c r="D43" i="100"/>
  <c r="D39" i="100"/>
  <c r="J55" i="101" l="1"/>
  <c r="I55" i="101"/>
  <c r="I56" i="101"/>
  <c r="H55" i="101"/>
  <c r="G55" i="101"/>
  <c r="F55" i="101"/>
  <c r="J56" i="101"/>
  <c r="F56" i="101"/>
  <c r="G56" i="101"/>
  <c r="H56" i="101"/>
  <c r="B47" i="35"/>
  <c r="C69" i="100" l="1"/>
  <c r="C72" i="35" l="1"/>
  <c r="M33" i="77"/>
  <c r="M39" i="77"/>
  <c r="K40" i="77"/>
  <c r="J46" i="77"/>
  <c r="K39" i="77"/>
  <c r="K38" i="77"/>
  <c r="K13" i="77"/>
  <c r="K12" i="77"/>
  <c r="E41" i="77"/>
  <c r="E39" i="77"/>
  <c r="F6" i="77"/>
  <c r="F39" i="77" s="1"/>
  <c r="E44" i="77"/>
  <c r="D44" i="77"/>
  <c r="J38" i="77"/>
  <c r="J45" i="77"/>
  <c r="I44" i="77"/>
  <c r="K4" i="77"/>
  <c r="J40" i="77"/>
  <c r="L40" i="77" s="1"/>
  <c r="M38" i="77"/>
  <c r="G61" i="77" l="1"/>
  <c r="H38" i="91"/>
  <c r="G38" i="91"/>
  <c r="F39" i="91"/>
  <c r="E56" i="91" l="1"/>
  <c r="K55" i="91"/>
  <c r="I55" i="91"/>
  <c r="J55" i="91"/>
  <c r="H55" i="91"/>
  <c r="I56" i="91"/>
  <c r="J56" i="91"/>
  <c r="K56" i="91"/>
  <c r="I57" i="91"/>
  <c r="J57" i="91"/>
  <c r="K57" i="91"/>
  <c r="I58" i="91"/>
  <c r="J58" i="91"/>
  <c r="K58" i="91"/>
  <c r="I59" i="91"/>
  <c r="J59" i="91"/>
  <c r="K59" i="91"/>
  <c r="I60" i="91"/>
  <c r="J60" i="91"/>
  <c r="K60" i="91"/>
  <c r="I61" i="91"/>
  <c r="J61" i="91"/>
  <c r="K61" i="91"/>
  <c r="H57" i="91"/>
  <c r="H58" i="91"/>
  <c r="H59" i="91"/>
  <c r="H60" i="91"/>
  <c r="H61" i="91"/>
  <c r="H56" i="91"/>
  <c r="G56" i="91" l="1"/>
  <c r="C59" i="91"/>
  <c r="F48" i="91"/>
  <c r="F59" i="91"/>
  <c r="D42" i="101" l="1"/>
  <c r="C59" i="100" s="1"/>
  <c r="M40" i="77"/>
  <c r="C45" i="1" l="1"/>
  <c r="H32" i="101" s="1"/>
  <c r="K32" i="77" l="1"/>
  <c r="K35" i="77" s="1"/>
  <c r="K33" i="77"/>
  <c r="K30" i="77"/>
  <c r="K28" i="77"/>
  <c r="K29" i="77"/>
  <c r="K27" i="77"/>
  <c r="K25" i="77"/>
  <c r="K24" i="77"/>
  <c r="K23" i="77"/>
  <c r="K22" i="77"/>
  <c r="K21" i="77"/>
  <c r="K20" i="77"/>
  <c r="K5" i="77"/>
  <c r="K6" i="77"/>
  <c r="K7" i="77"/>
  <c r="K8" i="77"/>
  <c r="K9" i="77"/>
  <c r="K10" i="77"/>
  <c r="K11" i="77"/>
  <c r="K14" i="77"/>
  <c r="K15" i="77"/>
  <c r="K16" i="77"/>
  <c r="K17" i="77"/>
  <c r="G39" i="91" l="1"/>
  <c r="F57" i="77"/>
  <c r="F61" i="77" s="1"/>
  <c r="F58" i="77"/>
  <c r="F59" i="77"/>
  <c r="F60" i="77"/>
  <c r="B61" i="77"/>
  <c r="F6" i="91" l="1"/>
  <c r="C56" i="91"/>
  <c r="C57" i="91"/>
  <c r="C46" i="91"/>
  <c r="C48" i="91"/>
  <c r="C61" i="91"/>
  <c r="E61" i="91" s="1"/>
  <c r="C58" i="91"/>
  <c r="E58" i="91" s="1"/>
  <c r="B58" i="91"/>
  <c r="F3" i="91" l="1"/>
  <c r="F23" i="1"/>
  <c r="G23" i="1"/>
  <c r="H23" i="1"/>
  <c r="E23" i="1"/>
  <c r="F25" i="1"/>
  <c r="G25" i="1"/>
  <c r="H25" i="1"/>
  <c r="E25" i="1"/>
  <c r="F4" i="91"/>
  <c r="C60" i="91"/>
  <c r="D58" i="91"/>
  <c r="B61" i="91"/>
  <c r="D61" i="91"/>
  <c r="E40" i="77"/>
  <c r="E19" i="1" l="1"/>
  <c r="F19" i="1"/>
  <c r="G19" i="1"/>
  <c r="H19" i="1"/>
  <c r="F18" i="1"/>
  <c r="G18" i="1"/>
  <c r="H18" i="1"/>
  <c r="E18" i="1"/>
  <c r="B60" i="91"/>
  <c r="E60" i="91"/>
  <c r="D60" i="91"/>
  <c r="E59" i="91"/>
  <c r="D59" i="91"/>
  <c r="B59" i="91"/>
  <c r="D57" i="91" l="1"/>
  <c r="E57" i="91"/>
  <c r="B57" i="91"/>
  <c r="A20" i="91"/>
  <c r="A20" i="77"/>
  <c r="A19" i="91"/>
  <c r="A19" i="77"/>
  <c r="A28" i="77"/>
  <c r="D56" i="91" l="1"/>
  <c r="B56" i="91"/>
  <c r="F56" i="91" s="1"/>
  <c r="F33" i="77"/>
  <c r="F31" i="77"/>
  <c r="F18" i="77"/>
  <c r="F17" i="77"/>
  <c r="F16" i="77"/>
  <c r="F40" i="77" s="1"/>
  <c r="F7" i="77"/>
  <c r="F8" i="77"/>
  <c r="F9" i="77"/>
  <c r="F10" i="77"/>
  <c r="F11" i="77"/>
  <c r="F12" i="77"/>
  <c r="F13" i="77"/>
  <c r="F14" i="77"/>
  <c r="C4" i="104"/>
  <c r="B25" i="91"/>
  <c r="A27" i="77" l="1"/>
  <c r="E34" i="77" s="1"/>
  <c r="E1" i="1"/>
  <c r="F29" i="91" l="1"/>
  <c r="A6" i="101" l="1"/>
  <c r="A7" i="101"/>
  <c r="B48" i="91" l="1"/>
  <c r="C45" i="91"/>
  <c r="B45" i="91" s="1"/>
  <c r="F45" i="91" s="1"/>
  <c r="C37" i="91"/>
  <c r="C26" i="91"/>
  <c r="J27" i="91" s="1"/>
  <c r="C47" i="91"/>
  <c r="G45" i="91"/>
  <c r="B47" i="91" s="1"/>
  <c r="C50" i="91"/>
  <c r="E50" i="91" s="1"/>
  <c r="D47" i="91"/>
  <c r="C49" i="91" l="1"/>
  <c r="B46" i="91"/>
  <c r="B50" i="91"/>
  <c r="E49" i="91"/>
  <c r="E48" i="91"/>
  <c r="D48" i="91"/>
  <c r="E47" i="91"/>
  <c r="D50" i="91"/>
  <c r="E27" i="91" l="1"/>
  <c r="E28" i="35"/>
  <c r="B49" i="91"/>
  <c r="D49" i="91"/>
  <c r="E46" i="91"/>
  <c r="D46" i="91"/>
  <c r="F49" i="91" l="1"/>
  <c r="D45" i="91"/>
  <c r="E45" i="91"/>
  <c r="G35" i="91" l="1"/>
  <c r="C38" i="91" s="1"/>
  <c r="E37" i="91"/>
  <c r="C40" i="91"/>
  <c r="D40" i="91" s="1"/>
  <c r="B38" i="91" l="1"/>
  <c r="F38" i="91" s="1"/>
  <c r="C36" i="91"/>
  <c r="D37" i="91"/>
  <c r="C39" i="91"/>
  <c r="B37" i="91"/>
  <c r="B39" i="91"/>
  <c r="M17" i="101" s="1"/>
  <c r="B40" i="91"/>
  <c r="E40" i="91"/>
  <c r="G4" i="104"/>
  <c r="G16" i="104"/>
  <c r="B49" i="77"/>
  <c r="D39" i="91" l="1"/>
  <c r="E39" i="91"/>
  <c r="C35" i="91"/>
  <c r="B35" i="91" s="1"/>
  <c r="D36" i="91"/>
  <c r="B36" i="91"/>
  <c r="D38" i="91"/>
  <c r="E38" i="91"/>
  <c r="H59" i="100" l="1"/>
  <c r="H60" i="100"/>
  <c r="H61" i="100"/>
  <c r="H58" i="100"/>
  <c r="H57" i="100"/>
  <c r="D35" i="91"/>
  <c r="E35" i="91"/>
  <c r="L38" i="77" l="1"/>
  <c r="N5" i="77"/>
  <c r="N6" i="77"/>
  <c r="N7" i="77"/>
  <c r="N8" i="77"/>
  <c r="N9" i="77"/>
  <c r="N10" i="77"/>
  <c r="N11" i="77"/>
  <c r="N13" i="77"/>
  <c r="N14" i="77"/>
  <c r="N15" i="77"/>
  <c r="N16" i="77"/>
  <c r="N17" i="77"/>
  <c r="N4" i="77"/>
  <c r="G13" i="35"/>
  <c r="K108" i="104" l="1"/>
  <c r="L108" i="104"/>
  <c r="C104" i="104"/>
  <c r="C107" i="104"/>
  <c r="G108" i="104"/>
  <c r="F108" i="104"/>
  <c r="E108" i="104"/>
  <c r="D108" i="104"/>
  <c r="J108" i="104" s="1"/>
  <c r="C108" i="104"/>
  <c r="I108" i="104" s="1"/>
  <c r="D101" i="104"/>
  <c r="J101" i="104" s="1"/>
  <c r="E101" i="104"/>
  <c r="K101" i="104" s="1"/>
  <c r="F101" i="104"/>
  <c r="L101" i="104" s="1"/>
  <c r="G101" i="104"/>
  <c r="C101" i="104"/>
  <c r="I101" i="104" s="1"/>
  <c r="G78" i="104"/>
  <c r="F78" i="104"/>
  <c r="L78" i="104" s="1"/>
  <c r="E78" i="104"/>
  <c r="K78" i="104" s="1"/>
  <c r="D78" i="104"/>
  <c r="J78" i="104" s="1"/>
  <c r="C78" i="104"/>
  <c r="I78" i="104" s="1"/>
  <c r="G85" i="104"/>
  <c r="F85" i="104"/>
  <c r="L85" i="104" s="1"/>
  <c r="E85" i="104"/>
  <c r="K85" i="104" s="1"/>
  <c r="D85" i="104"/>
  <c r="J85" i="104" s="1"/>
  <c r="C85" i="104"/>
  <c r="I85" i="104" s="1"/>
  <c r="C7" i="91" l="1"/>
  <c r="B18" i="91"/>
  <c r="C18" i="91" s="1"/>
  <c r="L23" i="77" l="1"/>
  <c r="C32" i="101"/>
  <c r="C70" i="1" l="1"/>
  <c r="F36" i="104"/>
  <c r="G107" i="104"/>
  <c r="G61" i="104" s="1"/>
  <c r="F107" i="104"/>
  <c r="F61" i="104" s="1"/>
  <c r="E107" i="104"/>
  <c r="E61" i="104" s="1"/>
  <c r="D107" i="104"/>
  <c r="D61" i="104" s="1"/>
  <c r="C61" i="104"/>
  <c r="G100" i="104"/>
  <c r="F100" i="104"/>
  <c r="F60" i="104" s="1"/>
  <c r="E100" i="104"/>
  <c r="E60" i="104" s="1"/>
  <c r="D100" i="104"/>
  <c r="D60" i="104" s="1"/>
  <c r="G104" i="104"/>
  <c r="G43" i="104" s="1"/>
  <c r="F104" i="104"/>
  <c r="F43" i="104" s="1"/>
  <c r="E104" i="104"/>
  <c r="E43" i="104" s="1"/>
  <c r="D104" i="104"/>
  <c r="D43" i="104" s="1"/>
  <c r="C43" i="104"/>
  <c r="D59" i="104"/>
  <c r="E59" i="104"/>
  <c r="F59" i="104"/>
  <c r="G59" i="104"/>
  <c r="G60" i="104"/>
  <c r="C60" i="104"/>
  <c r="C59" i="104"/>
  <c r="D53" i="104"/>
  <c r="E53" i="104"/>
  <c r="F53" i="104"/>
  <c r="G53" i="104"/>
  <c r="D54" i="104"/>
  <c r="E54" i="104"/>
  <c r="F54" i="104"/>
  <c r="G54" i="104"/>
  <c r="D55" i="104"/>
  <c r="E55" i="104"/>
  <c r="F55" i="104"/>
  <c r="G55" i="104"/>
  <c r="C55" i="104"/>
  <c r="C54" i="104"/>
  <c r="C53" i="104"/>
  <c r="G47" i="104"/>
  <c r="G48" i="104"/>
  <c r="G49" i="104"/>
  <c r="D47" i="104"/>
  <c r="E47" i="104"/>
  <c r="F47" i="104"/>
  <c r="D48" i="104"/>
  <c r="E48" i="104"/>
  <c r="F48" i="104"/>
  <c r="D49" i="104"/>
  <c r="E49" i="104"/>
  <c r="F49" i="104"/>
  <c r="C49" i="104"/>
  <c r="C48" i="104"/>
  <c r="C47" i="104"/>
  <c r="D41" i="104"/>
  <c r="E41" i="104"/>
  <c r="F41" i="104"/>
  <c r="G41" i="104"/>
  <c r="D42" i="104"/>
  <c r="E42" i="104"/>
  <c r="F42" i="104"/>
  <c r="G42" i="104"/>
  <c r="C42" i="104"/>
  <c r="C41" i="104"/>
  <c r="G37" i="104"/>
  <c r="D37" i="104"/>
  <c r="E37" i="104"/>
  <c r="F37" i="104"/>
  <c r="D36" i="104"/>
  <c r="E36" i="104"/>
  <c r="G36" i="104"/>
  <c r="G35" i="104"/>
  <c r="D35" i="104"/>
  <c r="E35" i="104"/>
  <c r="F35" i="104"/>
  <c r="C37" i="104"/>
  <c r="C36" i="104"/>
  <c r="C35" i="104"/>
  <c r="G7" i="91" l="1"/>
  <c r="G6" i="91"/>
  <c r="F11" i="35"/>
  <c r="F10" i="35" a="1"/>
  <c r="F10" i="35" s="1"/>
  <c r="F9" i="35"/>
  <c r="F8" i="35"/>
  <c r="F12" i="35"/>
  <c r="E12" i="35"/>
  <c r="E11" i="35"/>
  <c r="E10" i="35"/>
  <c r="E9" i="35"/>
  <c r="E8" i="35"/>
  <c r="J65" i="1"/>
  <c r="I65" i="1"/>
  <c r="H65" i="1"/>
  <c r="G65" i="1"/>
  <c r="F65" i="1"/>
  <c r="B26" i="91"/>
  <c r="B28" i="91"/>
  <c r="F28" i="91" s="1"/>
  <c r="G25" i="91"/>
  <c r="G14" i="91"/>
  <c r="B17" i="91"/>
  <c r="B15" i="91"/>
  <c r="B14" i="91"/>
  <c r="D65" i="1" l="1"/>
  <c r="K23" i="1"/>
  <c r="K25" i="1"/>
  <c r="M16" i="101"/>
  <c r="E36" i="91"/>
  <c r="C70" i="35"/>
  <c r="E15" i="103"/>
  <c r="F15" i="103" s="1"/>
  <c r="E14" i="103"/>
  <c r="F14" i="103" s="1"/>
  <c r="A8" i="101"/>
  <c r="A9" i="101"/>
  <c r="A10" i="101"/>
  <c r="A11" i="101" l="1"/>
  <c r="D39" i="101" s="1"/>
  <c r="C57" i="100" s="1"/>
  <c r="A13" i="101"/>
  <c r="A12" i="101"/>
  <c r="D40" i="101" l="1"/>
  <c r="C58" i="100" s="1"/>
  <c r="E28" i="77" l="1"/>
  <c r="A17" i="101"/>
  <c r="A18" i="101"/>
  <c r="F32" i="101" s="1"/>
  <c r="A20" i="101" l="1"/>
  <c r="C50" i="100" s="1"/>
  <c r="C27" i="91"/>
  <c r="E32" i="101" l="1"/>
  <c r="D32" i="101" s="1"/>
  <c r="F11" i="1" l="1"/>
  <c r="A25" i="1" l="1"/>
  <c r="H5" i="91"/>
  <c r="H6" i="91" s="1"/>
  <c r="H3" i="91"/>
  <c r="H4" i="91" s="1"/>
  <c r="F8" i="91"/>
  <c r="F7" i="91"/>
  <c r="C30" i="91"/>
  <c r="C19" i="91"/>
  <c r="C16" i="91"/>
  <c r="C29" i="91"/>
  <c r="C25" i="91"/>
  <c r="C28" i="91"/>
  <c r="C14" i="91"/>
  <c r="D14" i="91" s="1"/>
  <c r="C15" i="91"/>
  <c r="C17" i="91"/>
  <c r="E26" i="1" l="1"/>
  <c r="K26" i="1" s="1"/>
  <c r="E24" i="1"/>
  <c r="E27" i="1" s="1"/>
  <c r="E28" i="1" s="1"/>
  <c r="K28" i="1" s="1"/>
  <c r="F24" i="1"/>
  <c r="F27" i="1" s="1"/>
  <c r="F28" i="1" s="1"/>
  <c r="L28" i="1" s="1"/>
  <c r="G24" i="1"/>
  <c r="G27" i="1" s="1"/>
  <c r="G28" i="1" s="1"/>
  <c r="H24" i="1"/>
  <c r="H27" i="1" s="1"/>
  <c r="H28" i="1" s="1"/>
  <c r="F26" i="1"/>
  <c r="L26" i="1" s="1"/>
  <c r="G26" i="1"/>
  <c r="H26" i="1"/>
  <c r="J29" i="91"/>
  <c r="N17" i="101"/>
  <c r="J28" i="91"/>
  <c r="H32" i="91"/>
  <c r="N16" i="101"/>
  <c r="L23" i="1"/>
  <c r="L25" i="1"/>
  <c r="D25" i="91"/>
  <c r="E30" i="91"/>
  <c r="D30" i="91"/>
  <c r="F5" i="91"/>
  <c r="L19" i="1"/>
  <c r="K24" i="1" l="1"/>
  <c r="L24" i="1"/>
  <c r="K27" i="1"/>
  <c r="H20" i="1"/>
  <c r="N20" i="1" s="1"/>
  <c r="E20" i="1"/>
  <c r="F20" i="1"/>
  <c r="L20" i="1" s="1"/>
  <c r="G20" i="1"/>
  <c r="L18" i="1"/>
  <c r="M18" i="1"/>
  <c r="L27" i="1"/>
  <c r="M28" i="1"/>
  <c r="M27" i="1"/>
  <c r="N27" i="1"/>
  <c r="N28" i="1"/>
  <c r="C5" i="91"/>
  <c r="D6" i="91"/>
  <c r="D4" i="91"/>
  <c r="D5" i="91"/>
  <c r="D7" i="91"/>
  <c r="D8" i="91"/>
  <c r="D3" i="91"/>
  <c r="E16" i="91"/>
  <c r="E17" i="91"/>
  <c r="E18" i="91"/>
  <c r="E19" i="91"/>
  <c r="E15" i="91"/>
  <c r="E14" i="91"/>
  <c r="C3" i="91"/>
  <c r="C8" i="91"/>
  <c r="C6" i="91"/>
  <c r="C4" i="91"/>
  <c r="I27" i="1" l="1"/>
  <c r="O27" i="1" s="1"/>
  <c r="F30" i="104"/>
  <c r="F29" i="104"/>
  <c r="F28" i="104"/>
  <c r="F24" i="104"/>
  <c r="F23" i="104"/>
  <c r="F22" i="104"/>
  <c r="F18" i="104"/>
  <c r="F17" i="104"/>
  <c r="F16" i="104"/>
  <c r="F12" i="104"/>
  <c r="F11" i="104"/>
  <c r="F10" i="104"/>
  <c r="F6" i="104"/>
  <c r="F5" i="104"/>
  <c r="F4" i="104"/>
  <c r="G62" i="35"/>
  <c r="D5" i="104"/>
  <c r="E5" i="104"/>
  <c r="G5" i="104"/>
  <c r="D6" i="104"/>
  <c r="E6" i="104"/>
  <c r="G6" i="104"/>
  <c r="D11" i="104"/>
  <c r="E11" i="104"/>
  <c r="G11" i="104"/>
  <c r="D12" i="104"/>
  <c r="E12" i="104"/>
  <c r="G12" i="104"/>
  <c r="D17" i="104"/>
  <c r="E17" i="104"/>
  <c r="G17" i="104"/>
  <c r="D18" i="104"/>
  <c r="E18" i="104"/>
  <c r="G18" i="104"/>
  <c r="D23" i="104"/>
  <c r="E23" i="104"/>
  <c r="G23" i="104"/>
  <c r="D24" i="104"/>
  <c r="E24" i="104"/>
  <c r="G24" i="104"/>
  <c r="D29" i="104"/>
  <c r="E29" i="104"/>
  <c r="G29" i="104"/>
  <c r="D30" i="104"/>
  <c r="E30" i="104"/>
  <c r="G30" i="104"/>
  <c r="C30" i="104"/>
  <c r="C24" i="104"/>
  <c r="C18" i="104"/>
  <c r="C12" i="104"/>
  <c r="C6" i="104"/>
  <c r="C23" i="104"/>
  <c r="C17" i="104"/>
  <c r="C11" i="104"/>
  <c r="C5" i="104"/>
  <c r="C29" i="104"/>
  <c r="D16" i="104"/>
  <c r="E16" i="104"/>
  <c r="D10" i="104"/>
  <c r="E10" i="104"/>
  <c r="G10" i="104"/>
  <c r="D4" i="104"/>
  <c r="E4" i="104"/>
  <c r="C10" i="104"/>
  <c r="C16" i="104"/>
  <c r="C28" i="104"/>
  <c r="C22" i="104"/>
  <c r="D22" i="104"/>
  <c r="E22" i="104"/>
  <c r="G22" i="104"/>
  <c r="D28" i="104"/>
  <c r="E28" i="104"/>
  <c r="G28" i="104"/>
  <c r="J32" i="77"/>
  <c r="L32" i="77"/>
  <c r="M30" i="77"/>
  <c r="M25" i="77"/>
  <c r="J25" i="77"/>
  <c r="M12" i="77"/>
  <c r="A19" i="101" l="1"/>
  <c r="M42" i="77"/>
  <c r="M32" i="77"/>
  <c r="N12" i="77"/>
  <c r="F62" i="35"/>
  <c r="E6" i="77"/>
  <c r="F6" i="105" l="1"/>
  <c r="E6" i="105"/>
  <c r="C6" i="105"/>
  <c r="D6" i="105"/>
  <c r="C7" i="105"/>
  <c r="F7" i="105"/>
  <c r="E7" i="105"/>
  <c r="D7" i="105"/>
  <c r="B40" i="100" l="1"/>
  <c r="B41" i="100"/>
  <c r="B42" i="100"/>
  <c r="B43" i="100"/>
  <c r="B39" i="100"/>
  <c r="C44" i="100"/>
  <c r="D45" i="100"/>
  <c r="C62" i="101"/>
  <c r="C61" i="101"/>
  <c r="B7" i="105"/>
  <c r="B6" i="105"/>
  <c r="L8" i="103"/>
  <c r="H8" i="103"/>
  <c r="J8" i="103" s="1"/>
  <c r="L7" i="103"/>
  <c r="H7" i="103"/>
  <c r="J7" i="103" s="1"/>
  <c r="L6" i="103"/>
  <c r="H6" i="103"/>
  <c r="J6" i="103" s="1"/>
  <c r="D45" i="35"/>
  <c r="A63" i="1" s="1"/>
  <c r="B40" i="35"/>
  <c r="B41" i="35"/>
  <c r="B42" i="35"/>
  <c r="B43" i="35"/>
  <c r="B39" i="35"/>
  <c r="C44" i="35"/>
  <c r="E51" i="35"/>
  <c r="E52" i="35"/>
  <c r="E53" i="35"/>
  <c r="E54" i="35"/>
  <c r="E55" i="35"/>
  <c r="A56" i="101" l="1"/>
  <c r="D44" i="100"/>
  <c r="D54" i="101" s="1"/>
  <c r="A65" i="1"/>
  <c r="C69" i="35"/>
  <c r="D55" i="101"/>
  <c r="C67" i="100" s="1"/>
  <c r="A54" i="101"/>
  <c r="L30" i="77" l="1"/>
  <c r="J30" i="77"/>
  <c r="J33" i="77" s="1"/>
  <c r="L20" i="77"/>
  <c r="L25" i="77" s="1"/>
  <c r="L33" i="77" s="1"/>
  <c r="J39" i="77" s="1"/>
  <c r="L39" i="77" l="1"/>
  <c r="F53" i="100"/>
  <c r="F74" i="100" s="1"/>
  <c r="F81" i="100" s="1"/>
  <c r="F58" i="100"/>
  <c r="F59" i="100"/>
  <c r="F60" i="100"/>
  <c r="F61" i="100"/>
  <c r="F57" i="100"/>
  <c r="H62" i="35"/>
  <c r="F68" i="100" l="1"/>
  <c r="F65" i="100"/>
  <c r="F67" i="100"/>
  <c r="F66" i="100"/>
  <c r="F64" i="100"/>
  <c r="G60" i="100"/>
  <c r="G61" i="35"/>
  <c r="G59" i="100"/>
  <c r="G58" i="100"/>
  <c r="G57" i="100"/>
  <c r="D46" i="100"/>
  <c r="C66" i="100"/>
  <c r="E67" i="35"/>
  <c r="E68" i="35"/>
  <c r="E69" i="35"/>
  <c r="E70" i="35"/>
  <c r="E63" i="35"/>
  <c r="I60" i="100" l="1"/>
  <c r="I58" i="100"/>
  <c r="D56" i="101"/>
  <c r="C68" i="100" s="1"/>
  <c r="A55" i="101"/>
  <c r="I59" i="100"/>
  <c r="I57" i="100"/>
  <c r="B11" i="1"/>
  <c r="H55" i="1" s="1"/>
  <c r="D58" i="101" l="1"/>
  <c r="A52" i="101"/>
  <c r="G11" i="1"/>
  <c r="E66" i="35"/>
  <c r="E60" i="35"/>
  <c r="E61" i="35"/>
  <c r="E62" i="35"/>
  <c r="E59" i="35"/>
  <c r="B80" i="91"/>
  <c r="B82" i="91"/>
  <c r="B83" i="91"/>
  <c r="B84" i="91"/>
  <c r="B85" i="91"/>
  <c r="B86" i="91"/>
  <c r="B87" i="91"/>
  <c r="B88" i="91"/>
  <c r="B89" i="91"/>
  <c r="B79" i="91"/>
  <c r="P66" i="91"/>
  <c r="P67" i="91"/>
  <c r="P76" i="91"/>
  <c r="P75" i="91"/>
  <c r="P74" i="91"/>
  <c r="P73" i="91"/>
  <c r="P72" i="91"/>
  <c r="P71" i="91"/>
  <c r="P70" i="91"/>
  <c r="P69" i="91"/>
  <c r="J80" i="91"/>
  <c r="J81" i="91"/>
  <c r="J82" i="91"/>
  <c r="J83" i="91"/>
  <c r="J84" i="91"/>
  <c r="J79" i="91"/>
  <c r="E32" i="1"/>
  <c r="E33" i="1"/>
  <c r="D11" i="1"/>
  <c r="D48" i="101" l="1"/>
  <c r="D61" i="101"/>
  <c r="D64" i="101"/>
  <c r="G63" i="35"/>
  <c r="G60" i="35"/>
  <c r="D62" i="101"/>
  <c r="G61" i="100"/>
  <c r="G59" i="35"/>
  <c r="F61" i="35"/>
  <c r="C12" i="35"/>
  <c r="D43" i="35" s="1"/>
  <c r="C11" i="1"/>
  <c r="A11" i="1" s="1"/>
  <c r="D52" i="1" s="1"/>
  <c r="C62" i="35" s="1"/>
  <c r="E26" i="91"/>
  <c r="N19" i="1" s="1"/>
  <c r="E28" i="91"/>
  <c r="M10" i="101" l="1"/>
  <c r="M6" i="101"/>
  <c r="M9" i="101"/>
  <c r="J64" i="1"/>
  <c r="M7" i="101"/>
  <c r="M8" i="101"/>
  <c r="E62" i="101"/>
  <c r="F62" i="101" s="1"/>
  <c r="C70" i="100" s="1"/>
  <c r="D63" i="101"/>
  <c r="D65" i="101" s="1"/>
  <c r="F63" i="35"/>
  <c r="H63" i="35" s="1"/>
  <c r="S11" i="1"/>
  <c r="J32" i="91"/>
  <c r="N23" i="1"/>
  <c r="F59" i="35"/>
  <c r="H59" i="35" s="1"/>
  <c r="F60" i="35"/>
  <c r="H60" i="35" s="1"/>
  <c r="E11" i="1"/>
  <c r="I61" i="100"/>
  <c r="D15" i="91"/>
  <c r="D16" i="91"/>
  <c r="H61" i="35"/>
  <c r="D29" i="91"/>
  <c r="D28" i="91"/>
  <c r="D27" i="91"/>
  <c r="M20" i="1" s="1"/>
  <c r="E25" i="91"/>
  <c r="N18" i="1" s="1"/>
  <c r="E29" i="91"/>
  <c r="D26" i="91"/>
  <c r="M19" i="1" s="1"/>
  <c r="D17" i="91"/>
  <c r="D18" i="91"/>
  <c r="C71" i="100" l="1"/>
  <c r="M11" i="101"/>
  <c r="P16" i="101"/>
  <c r="N25" i="1"/>
  <c r="N24" i="1"/>
  <c r="N26" i="1"/>
  <c r="O17" i="101"/>
  <c r="M24" i="1"/>
  <c r="M26" i="1"/>
  <c r="I32" i="91"/>
  <c r="O16" i="101"/>
  <c r="M23" i="1"/>
  <c r="M25" i="1"/>
  <c r="A26" i="1"/>
  <c r="F54" i="100"/>
  <c r="F75" i="100" s="1"/>
  <c r="F82" i="100" s="1"/>
  <c r="C16" i="101" l="1"/>
  <c r="E16" i="101" s="1"/>
  <c r="D16" i="101" s="1"/>
  <c r="D25" i="1"/>
  <c r="P17" i="101"/>
  <c r="C17" i="101" s="1"/>
  <c r="D26" i="1"/>
  <c r="B10" i="1"/>
  <c r="F10" i="1"/>
  <c r="C9" i="1"/>
  <c r="C11" i="35"/>
  <c r="D42" i="35" s="1"/>
  <c r="C7" i="1"/>
  <c r="D9" i="1"/>
  <c r="D10" i="1"/>
  <c r="C31" i="101" l="1"/>
  <c r="C19" i="101"/>
  <c r="E19" i="101" s="1"/>
  <c r="D19" i="101" s="1"/>
  <c r="C18" i="101"/>
  <c r="C30" i="101" s="1"/>
  <c r="E17" i="101"/>
  <c r="I64" i="1"/>
  <c r="G10" i="1"/>
  <c r="H54" i="1"/>
  <c r="C10" i="1"/>
  <c r="A10" i="1" s="1"/>
  <c r="F31" i="101" l="1"/>
  <c r="D17" i="101"/>
  <c r="E20" i="101"/>
  <c r="E10" i="1"/>
  <c r="D41" i="101" l="1"/>
  <c r="F30" i="101" l="1"/>
  <c r="D43" i="101"/>
  <c r="C27" i="101"/>
  <c r="F52" i="100"/>
  <c r="F73" i="100" s="1"/>
  <c r="F80" i="100" s="1"/>
  <c r="F51" i="100"/>
  <c r="F72" i="100" s="1"/>
  <c r="F79" i="100" s="1"/>
  <c r="F50" i="100"/>
  <c r="F71" i="100" s="1"/>
  <c r="F78" i="100" s="1"/>
  <c r="F33" i="101" l="1"/>
  <c r="F18" i="101"/>
  <c r="F20" i="101" l="1"/>
  <c r="D20" i="101" s="1"/>
  <c r="C53" i="100" s="1"/>
  <c r="F23" i="101"/>
  <c r="D18" i="101"/>
  <c r="F26" i="101"/>
  <c r="F24" i="101"/>
  <c r="F25" i="101"/>
  <c r="J35" i="77"/>
  <c r="F27" i="101" l="1"/>
  <c r="H20" i="101"/>
  <c r="I6" i="101"/>
  <c r="I28" i="101" l="1"/>
  <c r="J28" i="101"/>
  <c r="I27" i="101"/>
  <c r="F35" i="101"/>
  <c r="D33" i="100" l="1"/>
  <c r="D8" i="1" l="1"/>
  <c r="D7" i="1"/>
  <c r="C8" i="1"/>
  <c r="F7" i="1" l="1"/>
  <c r="C71" i="1" l="1"/>
  <c r="C9" i="35"/>
  <c r="D40" i="35" s="1"/>
  <c r="C10" i="35"/>
  <c r="D41" i="35" s="1"/>
  <c r="C8" i="35"/>
  <c r="D39" i="35" l="1"/>
  <c r="F64" i="1" s="1"/>
  <c r="H64" i="1"/>
  <c r="G64" i="1"/>
  <c r="C13" i="35"/>
  <c r="D44" i="35" s="1"/>
  <c r="F9" i="1"/>
  <c r="F8" i="1"/>
  <c r="B9" i="1"/>
  <c r="H53" i="1" s="1"/>
  <c r="B8" i="1"/>
  <c r="H52" i="1" s="1"/>
  <c r="B3" i="77"/>
  <c r="B50" i="77" s="1"/>
  <c r="D53" i="1" s="1"/>
  <c r="C71" i="35" l="1"/>
  <c r="A64" i="1"/>
  <c r="A61" i="1" s="1"/>
  <c r="D46" i="35"/>
  <c r="B2" i="77"/>
  <c r="F12" i="1"/>
  <c r="D50" i="1" s="1"/>
  <c r="C60" i="35" s="1"/>
  <c r="A8" i="1"/>
  <c r="A9" i="1"/>
  <c r="G9" i="1"/>
  <c r="G8" i="1"/>
  <c r="B16" i="77" l="1"/>
  <c r="B21" i="77"/>
  <c r="F21" i="77" s="1"/>
  <c r="D18" i="77"/>
  <c r="D40" i="77" s="1"/>
  <c r="Q8" i="1"/>
  <c r="A23" i="1"/>
  <c r="G66" i="1"/>
  <c r="D67" i="1"/>
  <c r="D71" i="1" s="1"/>
  <c r="B8" i="77"/>
  <c r="B22" i="77"/>
  <c r="F22" i="77" s="1"/>
  <c r="B24" i="77"/>
  <c r="F24" i="77" s="1"/>
  <c r="B23" i="77"/>
  <c r="F23" i="77" s="1"/>
  <c r="B6" i="77"/>
  <c r="B18" i="77"/>
  <c r="B25" i="77"/>
  <c r="F25" i="77" s="1"/>
  <c r="B17" i="77"/>
  <c r="B26" i="77"/>
  <c r="F26" i="77" s="1"/>
  <c r="E9" i="1"/>
  <c r="E8" i="1"/>
  <c r="C43" i="1"/>
  <c r="D70" i="1" l="1"/>
  <c r="B39" i="77"/>
  <c r="C39" i="77" s="1"/>
  <c r="D23" i="1"/>
  <c r="B40" i="77" a="1"/>
  <c r="B40" i="77" s="1"/>
  <c r="C40" i="77" s="1"/>
  <c r="Q11" i="1"/>
  <c r="L11" i="1"/>
  <c r="C35" i="77"/>
  <c r="Q9" i="1"/>
  <c r="Q10" i="1"/>
  <c r="B7" i="1"/>
  <c r="H51" i="1" s="1"/>
  <c r="D72" i="1" l="1"/>
  <c r="G7" i="1"/>
  <c r="A7" i="1"/>
  <c r="E72" i="1" l="1"/>
  <c r="C73" i="35" s="1"/>
  <c r="D57" i="1"/>
  <c r="C64" i="35" s="1"/>
  <c r="C74" i="35"/>
  <c r="D74" i="1"/>
  <c r="S12" i="1"/>
  <c r="A12" i="1"/>
  <c r="Q7" i="1"/>
  <c r="Q12" i="1" s="1"/>
  <c r="E7" i="1"/>
  <c r="D73" i="1" l="1"/>
  <c r="A27" i="1"/>
  <c r="D27" i="1" s="1"/>
  <c r="A20" i="1"/>
  <c r="A19" i="1"/>
  <c r="D51" i="1"/>
  <c r="A18" i="1"/>
  <c r="E12" i="1"/>
  <c r="A24" i="1" s="1"/>
  <c r="V11" i="1" l="1"/>
  <c r="V7" i="1"/>
  <c r="V10" i="1"/>
  <c r="V8" i="1"/>
  <c r="V9" i="1"/>
  <c r="R11" i="1"/>
  <c r="C61" i="35"/>
  <c r="D24" i="1"/>
  <c r="D32" i="1"/>
  <c r="D33" i="1"/>
  <c r="A28" i="1"/>
  <c r="D28" i="1" s="1"/>
  <c r="B32" i="77"/>
  <c r="F32" i="77" s="1"/>
  <c r="F41" i="77" s="1"/>
  <c r="R9" i="1"/>
  <c r="R8" i="1"/>
  <c r="R7" i="1"/>
  <c r="R10" i="1"/>
  <c r="A17" i="1" l="1"/>
  <c r="C52" i="35" s="1"/>
  <c r="L7" i="1"/>
  <c r="D49" i="1"/>
  <c r="C59" i="35" s="1"/>
  <c r="B41" i="77"/>
  <c r="D29" i="1"/>
  <c r="M10" i="1"/>
  <c r="A29" i="1"/>
  <c r="C53" i="35" s="1"/>
  <c r="L8" i="1"/>
  <c r="B35" i="77"/>
  <c r="C36" i="77" s="1"/>
  <c r="R12" i="1"/>
  <c r="P7" i="1" l="1"/>
  <c r="D54" i="1"/>
  <c r="M9" i="1"/>
  <c r="M11" i="1"/>
  <c r="M7" i="1"/>
  <c r="M8" i="1"/>
  <c r="B37" i="77"/>
  <c r="B36" i="77"/>
  <c r="L10" i="1"/>
  <c r="L9" i="1"/>
  <c r="C41" i="77"/>
  <c r="L12" i="1" l="1"/>
  <c r="P11" i="1"/>
  <c r="P8" i="1"/>
  <c r="P10" i="1"/>
  <c r="P9" i="1"/>
  <c r="P12" i="1" l="1"/>
  <c r="D19" i="91" l="1"/>
  <c r="M12" i="1" l="1"/>
  <c r="T11" i="1" l="1"/>
  <c r="T10" i="1" l="1"/>
  <c r="T7" i="1"/>
  <c r="T9" i="1"/>
  <c r="T8" i="1"/>
  <c r="T12" i="1" l="1"/>
  <c r="V12" i="1" l="1"/>
  <c r="G67" i="1" s="1"/>
  <c r="I10" i="101" l="1"/>
  <c r="I7" i="101"/>
  <c r="I8" i="101"/>
  <c r="I9" i="101"/>
  <c r="E23" i="101"/>
  <c r="E24" i="101"/>
  <c r="D24" i="101" s="1"/>
  <c r="E25" i="101"/>
  <c r="D25" i="101" s="1"/>
  <c r="E26" i="101"/>
  <c r="D26" i="101" s="1"/>
  <c r="E30" i="101"/>
  <c r="D30" i="101" s="1"/>
  <c r="E31" i="101"/>
  <c r="D31" i="101" s="1"/>
  <c r="D23" i="101" l="1"/>
  <c r="D27" i="101" s="1"/>
  <c r="E27" i="101"/>
  <c r="E33" i="101"/>
  <c r="D33" i="101" s="1"/>
  <c r="I11" i="101"/>
  <c r="C54" i="100" l="1"/>
  <c r="C55" i="100" s="1"/>
  <c r="K8" i="101"/>
  <c r="K6" i="101"/>
  <c r="E35" i="101"/>
  <c r="D35" i="101" s="1"/>
  <c r="K9" i="101"/>
  <c r="K7" i="101"/>
  <c r="K10" i="101"/>
  <c r="H27" i="101"/>
  <c r="J27" i="101"/>
  <c r="J6" i="101" l="1"/>
  <c r="K11" i="101"/>
  <c r="D44" i="101"/>
  <c r="C60" i="100" s="1"/>
  <c r="J10" i="101"/>
  <c r="J7" i="101"/>
  <c r="J8" i="101"/>
  <c r="J9" i="101"/>
  <c r="C61" i="100" l="1"/>
  <c r="C63" i="100" s="1"/>
  <c r="D45" i="101"/>
  <c r="J11" i="101"/>
  <c r="D46" i="101" l="1"/>
  <c r="L6" i="101" s="1"/>
  <c r="H6" i="101" s="1"/>
  <c r="D47" i="101"/>
  <c r="L9" i="101" l="1"/>
  <c r="H9" i="101" s="1"/>
  <c r="L10" i="101"/>
  <c r="H10" i="101" s="1"/>
  <c r="N10" i="101" s="1"/>
  <c r="O12" i="101" s="1"/>
  <c r="O13" i="101" s="1"/>
  <c r="L8" i="101"/>
  <c r="H8" i="101" s="1"/>
  <c r="L7" i="101"/>
  <c r="H7" i="101" s="1"/>
  <c r="F49" i="101"/>
  <c r="D28" i="101"/>
  <c r="D49" i="101"/>
  <c r="F45" i="101"/>
  <c r="F12" i="101" l="1"/>
  <c r="D66" i="101"/>
  <c r="N8" i="101"/>
  <c r="G8" i="101" s="1"/>
  <c r="C8" i="101" s="1"/>
  <c r="G73" i="100" s="1"/>
  <c r="G80" i="100" s="1"/>
  <c r="N6" i="101"/>
  <c r="G6" i="101" s="1"/>
  <c r="C6" i="101" s="1"/>
  <c r="G71" i="100" s="1"/>
  <c r="G78" i="100" s="1"/>
  <c r="H11" i="101"/>
  <c r="G10" i="101"/>
  <c r="C10" i="101" s="1"/>
  <c r="N7" i="101"/>
  <c r="G7" i="101" s="1"/>
  <c r="C7" i="101" s="1"/>
  <c r="G72" i="100" s="1"/>
  <c r="G79" i="100" s="1"/>
  <c r="L11" i="101"/>
  <c r="D50" i="101"/>
  <c r="F10" i="101"/>
  <c r="F7" i="101"/>
  <c r="F6" i="101"/>
  <c r="F8" i="101"/>
  <c r="F9" i="101"/>
  <c r="N9" i="101"/>
  <c r="G9" i="101" s="1"/>
  <c r="C9" i="101" s="1"/>
  <c r="G74" i="100" s="1"/>
  <c r="G81" i="100" s="1"/>
  <c r="G75" i="100" l="1"/>
  <c r="G82" i="100" s="1"/>
  <c r="E66" i="101"/>
  <c r="C74" i="100" s="1"/>
  <c r="C73" i="100"/>
  <c r="E9" i="101"/>
  <c r="E7" i="101"/>
  <c r="E6" i="101"/>
  <c r="E8" i="101"/>
  <c r="G54" i="100"/>
  <c r="E10" i="101"/>
  <c r="D10" i="101"/>
  <c r="N11" i="101"/>
  <c r="G52" i="100"/>
  <c r="G66" i="100" s="1"/>
  <c r="D8" i="101"/>
  <c r="G53" i="100"/>
  <c r="D9" i="101"/>
  <c r="D7" i="101"/>
  <c r="G51" i="100"/>
  <c r="G65" i="100" s="1"/>
  <c r="I75" i="100" l="1"/>
  <c r="I82" i="100" s="1"/>
  <c r="H75" i="100"/>
  <c r="H82" i="100" s="1"/>
  <c r="H54" i="100"/>
  <c r="H68" i="100" s="1"/>
  <c r="G68" i="100"/>
  <c r="H72" i="100"/>
  <c r="H79" i="100" s="1"/>
  <c r="I72" i="100"/>
  <c r="I79" i="100" s="1"/>
  <c r="I73" i="100"/>
  <c r="I80" i="100" s="1"/>
  <c r="H73" i="100"/>
  <c r="H80" i="100" s="1"/>
  <c r="I71" i="100"/>
  <c r="I78" i="100" s="1"/>
  <c r="H71" i="100"/>
  <c r="H78" i="100" s="1"/>
  <c r="I74" i="100"/>
  <c r="I81" i="100" s="1"/>
  <c r="H74" i="100"/>
  <c r="H81" i="100" s="1"/>
  <c r="I54" i="100"/>
  <c r="I68" i="100" s="1"/>
  <c r="H51" i="100"/>
  <c r="H65" i="100" s="1"/>
  <c r="I51" i="100"/>
  <c r="I65" i="100" s="1"/>
  <c r="H53" i="100"/>
  <c r="H67" i="100" s="1"/>
  <c r="G67" i="100"/>
  <c r="I53" i="100"/>
  <c r="I67" i="100" s="1"/>
  <c r="I52" i="100"/>
  <c r="I66" i="100" s="1"/>
  <c r="H52" i="100"/>
  <c r="H66" i="100" s="1"/>
  <c r="G50" i="100"/>
  <c r="G64" i="100" s="1"/>
  <c r="D6" i="101"/>
  <c r="D11" i="101" l="1"/>
  <c r="I50" i="100"/>
  <c r="I64" i="100" s="1"/>
  <c r="H50" i="100"/>
  <c r="H64" i="100" s="1"/>
  <c r="D12" i="101" l="1"/>
  <c r="F11" i="101"/>
  <c r="F13" i="101" s="1"/>
  <c r="E11" i="101" l="1"/>
  <c r="D45" i="1" l="1"/>
  <c r="E34" i="1"/>
  <c r="D34" i="1" l="1"/>
  <c r="D35" i="1" s="1"/>
  <c r="O8" i="1" l="1"/>
  <c r="O7" i="1"/>
  <c r="O11" i="1"/>
  <c r="O9" i="1"/>
  <c r="O10" i="1"/>
  <c r="O12" i="1" l="1"/>
  <c r="K20" i="1" l="1"/>
  <c r="D20" i="1" s="1"/>
  <c r="K19" i="1"/>
  <c r="D19" i="1" s="1"/>
  <c r="K18" i="1" l="1"/>
  <c r="D18" i="1" s="1"/>
  <c r="D21" i="1" s="1"/>
  <c r="K8" i="1" l="1"/>
  <c r="D30" i="1"/>
  <c r="D37" i="1" s="1"/>
  <c r="C56" i="35" s="1"/>
  <c r="K11" i="1"/>
  <c r="K10" i="1"/>
  <c r="K9" i="1"/>
  <c r="K7" i="1"/>
  <c r="K12" i="1" l="1"/>
  <c r="D39" i="1"/>
  <c r="D42" i="1"/>
  <c r="D41" i="1"/>
  <c r="D40" i="1"/>
  <c r="D43" i="1" l="1"/>
  <c r="C57" i="35" s="1"/>
  <c r="N7" i="1" l="1"/>
  <c r="N10" i="1"/>
  <c r="N9" i="1"/>
  <c r="N11" i="1"/>
  <c r="N8" i="1"/>
  <c r="D46" i="1"/>
  <c r="C58" i="35" s="1"/>
  <c r="D56" i="1" l="1"/>
  <c r="D58" i="1" s="1"/>
  <c r="E46" i="1" s="1"/>
  <c r="E43" i="1"/>
  <c r="N12" i="1"/>
  <c r="C63" i="35" l="1"/>
  <c r="C65" i="35"/>
  <c r="C66" i="35" s="1"/>
  <c r="F43" i="1"/>
  <c r="G58" i="1"/>
  <c r="E54" i="1"/>
  <c r="D59" i="1"/>
  <c r="U8" i="1"/>
  <c r="W8" i="1" s="1"/>
  <c r="X8" i="1" s="1"/>
  <c r="U9" i="1"/>
  <c r="W9" i="1" s="1"/>
  <c r="X9" i="1" s="1"/>
  <c r="U10" i="1"/>
  <c r="W10" i="1" s="1"/>
  <c r="X10" i="1" s="1"/>
  <c r="U11" i="1"/>
  <c r="U7" i="1"/>
  <c r="W7" i="1" s="1"/>
  <c r="X7" i="1" s="1"/>
  <c r="D75" i="1" l="1"/>
  <c r="C76" i="35" s="1"/>
  <c r="U12" i="1"/>
  <c r="Z11" i="1"/>
  <c r="AA11" i="1" s="1"/>
  <c r="H11" i="1" s="1"/>
  <c r="W11" i="1"/>
  <c r="X11" i="1" s="1"/>
  <c r="E75" i="1" l="1"/>
  <c r="C77" i="35" s="1"/>
  <c r="Y11" i="1"/>
  <c r="Y9" i="1" s="1"/>
  <c r="Z9" i="1" s="1"/>
  <c r="AA9" i="1" s="1"/>
  <c r="H9" i="1" s="1"/>
  <c r="W12" i="1"/>
  <c r="X12" i="1"/>
  <c r="I11" i="1"/>
  <c r="I55" i="1"/>
  <c r="F55" i="35"/>
  <c r="Y7" i="1" l="1"/>
  <c r="Z7" i="1" s="1"/>
  <c r="AA7" i="1" s="1"/>
  <c r="H7" i="1" s="1"/>
  <c r="Y8" i="1"/>
  <c r="Z8" i="1" s="1"/>
  <c r="AA8" i="1" s="1"/>
  <c r="H8" i="1" s="1"/>
  <c r="I8" i="1" s="1"/>
  <c r="Y10" i="1"/>
  <c r="Z10" i="1" s="1"/>
  <c r="AA10" i="1" s="1"/>
  <c r="H10" i="1" s="1"/>
  <c r="I54" i="1" s="1"/>
  <c r="G55" i="35"/>
  <c r="G70" i="35" s="1"/>
  <c r="H55" i="35"/>
  <c r="H70" i="35" s="1"/>
  <c r="F70" i="35"/>
  <c r="I9" i="1"/>
  <c r="F53" i="35"/>
  <c r="I53" i="1"/>
  <c r="I52" i="1" l="1"/>
  <c r="F52" i="35"/>
  <c r="G52" i="35" s="1"/>
  <c r="G67" i="35" s="1"/>
  <c r="F54" i="35"/>
  <c r="H54" i="35" s="1"/>
  <c r="H69" i="35" s="1"/>
  <c r="I10" i="1"/>
  <c r="F68" i="35"/>
  <c r="H53" i="35"/>
  <c r="H68" i="35" s="1"/>
  <c r="G53" i="35"/>
  <c r="G68" i="35" s="1"/>
  <c r="Z12" i="1"/>
  <c r="F51" i="35"/>
  <c r="H52" i="35" l="1"/>
  <c r="H67" i="35" s="1"/>
  <c r="F67" i="35"/>
  <c r="G54" i="35"/>
  <c r="G69" i="35" s="1"/>
  <c r="F69" i="35"/>
  <c r="I7" i="1"/>
  <c r="I51" i="1"/>
  <c r="I56" i="1" s="1"/>
  <c r="I57" i="1" s="1"/>
  <c r="F66" i="35" l="1"/>
  <c r="G51" i="35"/>
  <c r="G66" i="35" s="1"/>
  <c r="H51" i="35"/>
  <c r="H66" i="3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tc={E08F0D3F-638A-AD42-8C05-016FFA33B127}</author>
    <author xml:space="preserve"> Anne Mitchell</author>
  </authors>
  <commentList>
    <comment ref="B14" authorId="0" shapeId="0" xr:uid="{E08F0D3F-638A-AD42-8C05-016FFA33B127}">
      <text>
        <t>[Threaded comment]
Your version of Excel allows you to read this threaded comment; however, any edits to it will get removed if the file is opened in a newer version of Excel. Learn more: https://go.microsoft.com/fwlink/?linkid=870924
Comment:
    @Jeanna Capito [P5FS] this has the COLA zero’d out. What should it be for this version of the public model?
Reply:
    Note, FCC has 4.8%</t>
      </text>
    </comment>
    <comment ref="B50" authorId="1" shapeId="0" xr:uid="{00000000-0006-0000-0100-000009000000}">
      <text>
        <r>
          <rPr>
            <sz val="9"/>
            <color rgb="FF000000"/>
            <rFont val="Tahoma"/>
            <family val="2"/>
          </rPr>
          <t>Occupancy (e.g., rent/mortgage, real estate taxes, other occupancy, maintenance, janitorial)</t>
        </r>
      </text>
    </comment>
    <comment ref="B51" authorId="1" shapeId="0" xr:uid="{00000000-0006-0000-0100-00000A000000}">
      <text>
        <r>
          <rPr>
            <sz val="9"/>
            <color rgb="FF000000"/>
            <rFont val="Tahoma"/>
            <family val="2"/>
          </rPr>
          <t>Program Management (e.g., office supplies, telelphone, internet, insurance, legal and professional fees, permits, fundraising, memberships, administration fees)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tc={09268A5D-75AF-9245-B49C-8446D7A35E87}</author>
  </authors>
  <commentList>
    <comment ref="B52" authorId="0" shapeId="0" xr:uid="{09268A5D-75AF-9245-B49C-8446D7A35E8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it is used if you pick licensing/star 2 as quality level… for 12.10 it didnt matter because there was still a spread between 12.10 and data colletion salaries. but it is a problem for the $15 and $18 model
Reply:
    my solution is to pay same at licensing/2 star and 2+/3 star. the alternative is to set the licensing as the min wage, and go up from there, but that will get our 5 star programs pretty high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 Workman</author>
  </authors>
  <commentList>
    <comment ref="F2" authorId="0" shapeId="0" xr:uid="{CE498FC8-CFE1-1C4B-8C0B-B9BD77B0D128}">
      <text>
        <r>
          <rPr>
            <b/>
            <sz val="10"/>
            <color rgb="FF000000"/>
            <rFont val="Tahoma"/>
            <family val="2"/>
          </rPr>
          <t>Simon Workman: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CPI calculator Jan 2020-Mar 2022</t>
        </r>
      </text>
    </comment>
    <comment ref="K2" authorId="0" shapeId="0" xr:uid="{18CBF34C-74BF-D64E-AF54-3AFEE845293C}">
      <text>
        <r>
          <rPr>
            <b/>
            <sz val="10"/>
            <color rgb="FF000000"/>
            <rFont val="Tahoma"/>
            <family val="2"/>
          </rPr>
          <t>Simon Workman: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CPI calculator Jan 2020-Mar 2022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<sst xmlns="http://schemas.openxmlformats.org/spreadsheetml/2006/main" count="975" uniqueCount="524">
  <si>
    <t>Ratios</t>
  </si>
  <si>
    <t>Star 2+/3</t>
  </si>
  <si>
    <t>Licensing/Star 2</t>
  </si>
  <si>
    <t>Star 4</t>
  </si>
  <si>
    <t>Star 5</t>
  </si>
  <si>
    <t>CHILD CARE CENTER</t>
  </si>
  <si>
    <t>Region</t>
  </si>
  <si>
    <t>Statewide</t>
  </si>
  <si>
    <t>SIZE of CENTER</t>
  </si>
  <si>
    <t># Children/Age</t>
  </si>
  <si>
    <t>Age Groups</t>
  </si>
  <si>
    <t>Group size</t>
  </si>
  <si>
    <t># of Classrooms</t>
  </si>
  <si>
    <t>Infants</t>
  </si>
  <si>
    <t>Two-year-olds</t>
  </si>
  <si>
    <t>Three-year-olds</t>
  </si>
  <si>
    <t>Four-year-olds</t>
  </si>
  <si>
    <t>School age</t>
  </si>
  <si>
    <t>TOTAL Children</t>
  </si>
  <si>
    <t>TOTAL Classrooms</t>
  </si>
  <si>
    <t>GROSS RECEIPTS TAX</t>
  </si>
  <si>
    <t>GRT</t>
  </si>
  <si>
    <t>Required to pay</t>
  </si>
  <si>
    <t>Not Required</t>
  </si>
  <si>
    <t>Who pays GRT</t>
  </si>
  <si>
    <t>Private-pay families only</t>
  </si>
  <si>
    <t>All Families</t>
  </si>
  <si>
    <t>Center pays</t>
  </si>
  <si>
    <t xml:space="preserve">EFFICIENCY </t>
  </si>
  <si>
    <r>
      <t>Enrollment</t>
    </r>
    <r>
      <rPr>
        <i/>
        <sz val="10"/>
        <rFont val="Arial"/>
        <family val="2"/>
      </rPr>
      <t xml:space="preserve"> as % of total staffed capacity</t>
    </r>
  </si>
  <si>
    <t>85-95% is typical</t>
  </si>
  <si>
    <r>
      <t xml:space="preserve">Bad Debt </t>
    </r>
    <r>
      <rPr>
        <i/>
        <sz val="10"/>
        <rFont val="Arial"/>
        <family val="2"/>
      </rPr>
      <t>as % of revenue not collected</t>
    </r>
  </si>
  <si>
    <t>About 3% is typical</t>
  </si>
  <si>
    <t>`</t>
  </si>
  <si>
    <t>SALARIES</t>
  </si>
  <si>
    <t>Yes</t>
  </si>
  <si>
    <t>No</t>
  </si>
  <si>
    <t>WorkforceSurvey</t>
  </si>
  <si>
    <t>BLS</t>
  </si>
  <si>
    <t>ModelSalaryScale</t>
  </si>
  <si>
    <t>KinderParity</t>
  </si>
  <si>
    <t>Select salary level in D16</t>
  </si>
  <si>
    <t>BLS adj $12.10</t>
  </si>
  <si>
    <t>(enter hourly wage)</t>
  </si>
  <si>
    <t>BLS adj min wage</t>
  </si>
  <si>
    <t>Kindergarten Parity</t>
  </si>
  <si>
    <t>User added</t>
  </si>
  <si>
    <t>Lead Teacher</t>
  </si>
  <si>
    <t>Assistant Teacher</t>
  </si>
  <si>
    <t>Floater</t>
  </si>
  <si>
    <t>For user added salaries enter houlrly salary to right -------------&gt;</t>
  </si>
  <si>
    <t>BENEFITS</t>
  </si>
  <si>
    <t>Health Insurance</t>
  </si>
  <si>
    <t>Select whether program offers health insurance to employees</t>
  </si>
  <si>
    <t>Sick Days</t>
  </si>
  <si>
    <t>Paid Leave</t>
  </si>
  <si>
    <t>enter annual number of days per staff member, not including holidays where program is closed</t>
  </si>
  <si>
    <t>ADDITIONAL SANITATION</t>
  </si>
  <si>
    <t>Deep cleaning</t>
  </si>
  <si>
    <t># of cleanings per month</t>
  </si>
  <si>
    <t>Cost per cleaning</t>
  </si>
  <si>
    <t>Supplies</t>
  </si>
  <si>
    <t>Sanitation supplies</t>
  </si>
  <si>
    <t>Cost/classroom/month</t>
  </si>
  <si>
    <t>REVENUE</t>
  </si>
  <si>
    <r>
      <t xml:space="preserve">Enter </t>
    </r>
    <r>
      <rPr>
        <b/>
        <sz val="10"/>
        <rFont val="Arial"/>
        <family val="2"/>
      </rPr>
      <t># of children</t>
    </r>
    <r>
      <rPr>
        <sz val="10"/>
        <rFont val="Arial"/>
        <family val="2"/>
      </rPr>
      <t xml:space="preserve"> by age receiving each type of subsidy using YELLOW cells only in the table below.  Private Tuition tab must not be a negative</t>
    </r>
  </si>
  <si>
    <t>State child care subsidy</t>
  </si>
  <si>
    <t>NM Early PreK</t>
  </si>
  <si>
    <t>Private Tuition</t>
  </si>
  <si>
    <t>Total =</t>
  </si>
  <si>
    <t>Percent subsidy =</t>
  </si>
  <si>
    <t>Annual Cost per Child</t>
  </si>
  <si>
    <t>Annual</t>
  </si>
  <si>
    <t>Weekly</t>
  </si>
  <si>
    <t>PRO-FORMA BUDGET:  New Mexico Child Care Center</t>
  </si>
  <si>
    <t>Items in yellow shaded cells may be changed to model different scenarios</t>
  </si>
  <si>
    <t>user can change these cells</t>
  </si>
  <si>
    <t>DO NOT CHANGE OTHER CELLS</t>
  </si>
  <si>
    <t>these cells have data from the Variables sheet. DO NOT change here.</t>
  </si>
  <si>
    <t>A Typical Center</t>
  </si>
  <si>
    <t>Cost per child calcuations</t>
  </si>
  <si>
    <t>Max Grp</t>
  </si>
  <si>
    <t>Teachers</t>
  </si>
  <si>
    <t>Classrooms</t>
  </si>
  <si>
    <t>Annual cost per child</t>
  </si>
  <si>
    <t>Monthly</t>
  </si>
  <si>
    <t>Admin Personnel</t>
  </si>
  <si>
    <t>Classroom Personnel</t>
  </si>
  <si>
    <t>Floaters</t>
  </si>
  <si>
    <t>Benefits</t>
  </si>
  <si>
    <t>Subs</t>
  </si>
  <si>
    <t>NP ed program</t>
  </si>
  <si>
    <t>NP occupancy</t>
  </si>
  <si>
    <t>NP admin</t>
  </si>
  <si>
    <t>Transportation</t>
  </si>
  <si>
    <t>Cleaning</t>
  </si>
  <si>
    <t>Op reserve</t>
  </si>
  <si>
    <t>Total</t>
  </si>
  <si>
    <t>Grand Total</t>
  </si>
  <si>
    <t>SA Adjustment</t>
  </si>
  <si>
    <t>CPC</t>
  </si>
  <si>
    <t>60% of expenses except classroom personnel</t>
  </si>
  <si>
    <t>= % for daily coverage (need 20% for opening/closing and breaks)</t>
  </si>
  <si>
    <t>EXPENSES: Personnel</t>
  </si>
  <si>
    <t>Total Cost</t>
  </si>
  <si>
    <t>Unit Cost</t>
  </si>
  <si>
    <t>TOTAL Staff</t>
  </si>
  <si>
    <t>Program Director</t>
  </si>
  <si>
    <t>Assistant Director (50% if &lt;30, then FT)</t>
  </si>
  <si>
    <t>Administrative assistant (50% if &lt;30 children, then FT)</t>
  </si>
  <si>
    <t>Subtotal administration and management staff</t>
  </si>
  <si>
    <t>Lead Teachers (1 per classroom)</t>
  </si>
  <si>
    <t>Teachers/Assistant Teachers</t>
  </si>
  <si>
    <t>School age Teachers</t>
  </si>
  <si>
    <t>School Age Asst Teachers</t>
  </si>
  <si>
    <t>Floater-Assists for % coverage throughout day)</t>
  </si>
  <si>
    <t>(Hourly used for sub)</t>
  </si>
  <si>
    <t>Floater-Assists for planning/release time</t>
  </si>
  <si>
    <t>subtotal teaching staff</t>
  </si>
  <si>
    <t>subtotal all staff</t>
  </si>
  <si>
    <r>
      <t xml:space="preserve">Subs for staff leave @ </t>
    </r>
    <r>
      <rPr>
        <u/>
        <sz val="10"/>
        <rFont val="Arial"/>
        <family val="2"/>
      </rPr>
      <t>days</t>
    </r>
    <r>
      <rPr>
        <sz val="10"/>
        <rFont val="Arial"/>
        <family val="2"/>
      </rPr>
      <t xml:space="preserve"> per year</t>
    </r>
  </si>
  <si>
    <r>
      <t xml:space="preserve">paid leave days </t>
    </r>
    <r>
      <rPr>
        <i/>
        <sz val="10"/>
        <rFont val="Arial"/>
        <family val="2"/>
      </rPr>
      <t>[plus 8-10  paid holidays per year, no subs needed for holidays]</t>
    </r>
  </si>
  <si>
    <r>
      <t xml:space="preserve">Subs for staff sick leave @ </t>
    </r>
    <r>
      <rPr>
        <u/>
        <sz val="10"/>
        <rFont val="Arial"/>
        <family val="2"/>
      </rPr>
      <t>days</t>
    </r>
    <r>
      <rPr>
        <sz val="10"/>
        <rFont val="Arial"/>
        <family val="2"/>
      </rPr>
      <t>/year</t>
    </r>
  </si>
  <si>
    <t>days of paid sick leave</t>
  </si>
  <si>
    <t>Subs for PD release time</t>
  </si>
  <si>
    <t>hours per year</t>
  </si>
  <si>
    <t>subtotal substitutes</t>
  </si>
  <si>
    <t>Subtotal Wages</t>
  </si>
  <si>
    <t>Mandatory benefits @ % salary</t>
  </si>
  <si>
    <t xml:space="preserve">FICA-Social Security </t>
  </si>
  <si>
    <t>Medicare</t>
  </si>
  <si>
    <t>Unemployment Insurance</t>
  </si>
  <si>
    <t>Workers Compensation</t>
  </si>
  <si>
    <t>Subtotal Mandatory Benefits</t>
  </si>
  <si>
    <t>Discretionary benefits</t>
  </si>
  <si>
    <t>Additional benefits (pool/menu of options):</t>
  </si>
  <si>
    <t>Subtotal Personnel</t>
  </si>
  <si>
    <t>of expenses</t>
  </si>
  <si>
    <t xml:space="preserve">EXPENSES: Nonpersonnel </t>
  </si>
  <si>
    <t>Education Program for Children and Staff</t>
  </si>
  <si>
    <t>(uses data collection)</t>
  </si>
  <si>
    <t>Occupancy</t>
  </si>
  <si>
    <t>CPC check</t>
  </si>
  <si>
    <t>Program Management &amp; Administration</t>
  </si>
  <si>
    <t>School age transportation</t>
  </si>
  <si>
    <t>Additional Cleaning</t>
  </si>
  <si>
    <t>Subtotal Nonpersonnel</t>
  </si>
  <si>
    <t>Contribution to operating reserve fund</t>
  </si>
  <si>
    <t>% of collected revenue</t>
  </si>
  <si>
    <t>Total Expense</t>
  </si>
  <si>
    <t>(not including GRT)</t>
  </si>
  <si>
    <t>with GRT</t>
  </si>
  <si>
    <t># Children</t>
  </si>
  <si>
    <t>Tuition Region</t>
  </si>
  <si>
    <t>Metro</t>
  </si>
  <si>
    <t>Rural</t>
  </si>
  <si>
    <t>CACFP (all ages)</t>
  </si>
  <si>
    <t>infant</t>
  </si>
  <si>
    <t>toddler</t>
  </si>
  <si>
    <t>3 year old</t>
  </si>
  <si>
    <t>4 year old</t>
  </si>
  <si>
    <t xml:space="preserve">Private Tuition </t>
  </si>
  <si>
    <t>Other income (grants, fundraising, etc.)</t>
  </si>
  <si>
    <t>Total Revenue</t>
  </si>
  <si>
    <t>= Potential Total Revenue</t>
  </si>
  <si>
    <t>Adjustments to revenue</t>
  </si>
  <si>
    <t>Adjustment for enrollment efficiency</t>
  </si>
  <si>
    <t>Adjustment for bad debt</t>
  </si>
  <si>
    <t>GRT recoupment from families</t>
  </si>
  <si>
    <t>TOTAL ACTUAL REVENUE</t>
  </si>
  <si>
    <t>Annual Revenue less Expenses profit/(loss)</t>
  </si>
  <si>
    <t>Home pays</t>
  </si>
  <si>
    <t>Provider/Owner</t>
  </si>
  <si>
    <t xml:space="preserve">Assistant </t>
  </si>
  <si>
    <t>enter annual number of days per staff member (incl provider), not including holidays where program is closed</t>
  </si>
  <si>
    <t>Additional Sanitation expenses</t>
  </si>
  <si>
    <t>Cost per clearning</t>
  </si>
  <si>
    <t>Cost per provider per month</t>
  </si>
  <si>
    <t>weekly</t>
  </si>
  <si>
    <t>Family Child Care Home Profile</t>
  </si>
  <si>
    <t>Cost per child</t>
  </si>
  <si>
    <t>Cost per age group</t>
  </si>
  <si>
    <t>100% CPC</t>
  </si>
  <si>
    <t>Total cost per age group</t>
  </si>
  <si>
    <t>Personnel</t>
  </si>
  <si>
    <t>Mand benefits</t>
  </si>
  <si>
    <t>Discretionary Benefits</t>
  </si>
  <si>
    <t>Direct Expenses</t>
  </si>
  <si>
    <t>Toddlers</t>
  </si>
  <si>
    <t>Age 3</t>
  </si>
  <si>
    <t>Age 4</t>
  </si>
  <si>
    <t>Total Children</t>
  </si>
  <si>
    <t>EXPENSES</t>
  </si>
  <si>
    <t>Salaries and Wages</t>
  </si>
  <si>
    <t>Program wide</t>
  </si>
  <si>
    <t>Infant Asst</t>
  </si>
  <si>
    <t>Provider/Teacher</t>
  </si>
  <si>
    <t>Asst Teacher - Group Home</t>
  </si>
  <si>
    <t>Assistant Teacher - Infants</t>
  </si>
  <si>
    <t>Floater/Sub (Quality activities)</t>
  </si>
  <si>
    <t>Subtotal Salary and Wages</t>
  </si>
  <si>
    <t>Mandatory benefits for salaried staff</t>
  </si>
  <si>
    <t>Program-wide staff</t>
  </si>
  <si>
    <t xml:space="preserve">Unemployment Insurance </t>
  </si>
  <si>
    <t>per person</t>
  </si>
  <si>
    <t>Sick Leave</t>
  </si>
  <si>
    <t>Paid leave</t>
  </si>
  <si>
    <t>Subtotal Wages and Benefits</t>
  </si>
  <si>
    <t>Other Direct Expense: 100% Business Use (reported on IRS Schedule C)</t>
  </si>
  <si>
    <r>
      <t xml:space="preserve">For details, see </t>
    </r>
    <r>
      <rPr>
        <i/>
        <sz val="10"/>
        <rFont val="Arial"/>
        <family val="2"/>
      </rPr>
      <t>Operating Expense Direct &amp; Shared</t>
    </r>
  </si>
  <si>
    <t xml:space="preserve">   Nonpersonnel: Admin/Office</t>
  </si>
  <si>
    <t xml:space="preserve">   Nonpersonnel: Program (calculated per child)</t>
  </si>
  <si>
    <t>Additional cleaning</t>
  </si>
  <si>
    <t>Subtotal Other Expenses</t>
  </si>
  <si>
    <t>Total other expenses</t>
  </si>
  <si>
    <t>TOTAL Expenses without GRT</t>
  </si>
  <si>
    <t>Total Expenses with GRT</t>
  </si>
  <si>
    <t>per child</t>
  </si>
  <si>
    <t xml:space="preserve"> = Actual Total Collected Revenue</t>
  </si>
  <si>
    <t>CENTERS</t>
  </si>
  <si>
    <t>4 Star</t>
  </si>
  <si>
    <t>5 Star</t>
  </si>
  <si>
    <t>infant/toddler</t>
  </si>
  <si>
    <t>Two years</t>
  </si>
  <si>
    <t>Group Size</t>
  </si>
  <si>
    <t>Infant/toddler</t>
  </si>
  <si>
    <t>FCC</t>
  </si>
  <si>
    <t>Family Child Care Home</t>
  </si>
  <si>
    <t>Group Family Child Care home</t>
  </si>
  <si>
    <t>Registered home</t>
  </si>
  <si>
    <t>Max</t>
  </si>
  <si>
    <t>6 with own kids, 4 without</t>
  </si>
  <si>
    <t xml:space="preserve">https://www.bls.gov/oes/2020/may/oes_nm.htm </t>
  </si>
  <si>
    <t>User FCC</t>
  </si>
  <si>
    <t>Data collection</t>
  </si>
  <si>
    <t>Director</t>
  </si>
  <si>
    <t>Assistant Director</t>
  </si>
  <si>
    <t>Administrative Assistant</t>
  </si>
  <si>
    <t>Floater/Assistants</t>
  </si>
  <si>
    <t>Current min wage ($10.50)</t>
  </si>
  <si>
    <t>Licensing/2 Star</t>
  </si>
  <si>
    <t>2+/3 Star</t>
  </si>
  <si>
    <t>data collection</t>
  </si>
  <si>
    <t>Min wage ($12.10)</t>
  </si>
  <si>
    <t>2/2+/3 Star</t>
  </si>
  <si>
    <t>Accred</t>
  </si>
  <si>
    <t>2 Star</t>
  </si>
  <si>
    <t>2+Star</t>
  </si>
  <si>
    <t>3 Star</t>
  </si>
  <si>
    <t>no star</t>
  </si>
  <si>
    <t>NO FOCUS</t>
  </si>
  <si>
    <t>FOCUS</t>
  </si>
  <si>
    <t>Accreditation</t>
  </si>
  <si>
    <t>No acc</t>
  </si>
  <si>
    <t>Lead Teacher Infant</t>
  </si>
  <si>
    <t>Lead Teacher Toddler</t>
  </si>
  <si>
    <t>Lead Teacher Preschool</t>
  </si>
  <si>
    <t>Lead Teacher School age</t>
  </si>
  <si>
    <t>Assistant Teacher - Infant</t>
  </si>
  <si>
    <t>Assistant Teacher - Toddler</t>
  </si>
  <si>
    <t>Assistant Teacher - Preschool</t>
  </si>
  <si>
    <t>Assistant Teacher - School age</t>
  </si>
  <si>
    <t>2/2+/3 Star to 5 Star</t>
  </si>
  <si>
    <t>acc programs pay 14% more</t>
  </si>
  <si>
    <t>BLS 2020</t>
  </si>
  <si>
    <t>Program director</t>
  </si>
  <si>
    <t>Ed Coord</t>
  </si>
  <si>
    <t>Admin Asst</t>
  </si>
  <si>
    <t>Asst Teacher</t>
  </si>
  <si>
    <t>PCQC - Center</t>
  </si>
  <si>
    <t>Fixed cost</t>
  </si>
  <si>
    <t>Category</t>
  </si>
  <si>
    <t>PCQC - FCC</t>
  </si>
  <si>
    <t>Survey - data collection</t>
  </si>
  <si>
    <t>Interview - data collection</t>
  </si>
  <si>
    <t>Kids</t>
  </si>
  <si>
    <t>Annual Costs per Classroom</t>
  </si>
  <si>
    <t>advertising</t>
  </si>
  <si>
    <t>Program Management</t>
  </si>
  <si>
    <t>vehicle expense</t>
  </si>
  <si>
    <t>Office Supplies/Equipment</t>
  </si>
  <si>
    <t>depreciation</t>
  </si>
  <si>
    <t>Telephone/Internet</t>
  </si>
  <si>
    <t>insurance</t>
  </si>
  <si>
    <t>Insurance</t>
  </si>
  <si>
    <t>interest on biz debt</t>
  </si>
  <si>
    <t>Legal/Professional Fees</t>
  </si>
  <si>
    <t>legal &amp; Prof fees</t>
  </si>
  <si>
    <t>Fees/Permits</t>
  </si>
  <si>
    <t>Office supplie</t>
  </si>
  <si>
    <t>Repairs/Maint</t>
  </si>
  <si>
    <t>Food</t>
  </si>
  <si>
    <t>Telephone</t>
  </si>
  <si>
    <t>Training/PD</t>
  </si>
  <si>
    <t>Rent /Lease/Mortgage (incl RE taxes)</t>
  </si>
  <si>
    <t>Prof Member</t>
  </si>
  <si>
    <t>Other occupancy (incl utilities)</t>
  </si>
  <si>
    <t>License/permits</t>
  </si>
  <si>
    <t>Maintenance/Repairs/cleaning</t>
  </si>
  <si>
    <t>Other</t>
  </si>
  <si>
    <t>Mortgage/Rent</t>
  </si>
  <si>
    <t>Food &amp; Food Related Items</t>
  </si>
  <si>
    <t>Classroom supplies</t>
  </si>
  <si>
    <t>Home Repairs/Maint</t>
  </si>
  <si>
    <t>Medical Supplies</t>
  </si>
  <si>
    <t>Utilities</t>
  </si>
  <si>
    <t>Educational Supplies</t>
  </si>
  <si>
    <t>Household supplies</t>
  </si>
  <si>
    <t>postage</t>
  </si>
  <si>
    <t>Hours worked</t>
  </si>
  <si>
    <t>Space in home</t>
  </si>
  <si>
    <t>Total space</t>
  </si>
  <si>
    <t>Education/Program - Staff</t>
  </si>
  <si>
    <t>Time-Space Percent</t>
  </si>
  <si>
    <t>Other: Prof Consultants/Temp Personnel</t>
  </si>
  <si>
    <t>Total 100% Biz</t>
  </si>
  <si>
    <t>Shared expense</t>
  </si>
  <si>
    <t>Total Non-Personnel</t>
  </si>
  <si>
    <t>Total Nonpersonnel</t>
  </si>
  <si>
    <t>Per classroom</t>
  </si>
  <si>
    <t>Administration</t>
  </si>
  <si>
    <t>Administration (by child)</t>
  </si>
  <si>
    <t>Occupancy (by classroom)</t>
  </si>
  <si>
    <t>Education Program</t>
  </si>
  <si>
    <t>Education Program (by child)</t>
  </si>
  <si>
    <t xml:space="preserve">Use in FCC R&amp;E </t>
  </si>
  <si>
    <t xml:space="preserve">Use in CTR R&amp;E </t>
  </si>
  <si>
    <t>Monthly cleanings</t>
  </si>
  <si>
    <t>additional sanitation</t>
  </si>
  <si>
    <t>Amount</t>
  </si>
  <si>
    <t>School age kids</t>
  </si>
  <si>
    <t>annual per child</t>
  </si>
  <si>
    <t>Vehicle</t>
  </si>
  <si>
    <t>Star 3 rate</t>
  </si>
  <si>
    <t>Subsidy</t>
  </si>
  <si>
    <t>Star 2</t>
  </si>
  <si>
    <t>Infant</t>
  </si>
  <si>
    <t>Toddler/2 year old</t>
  </si>
  <si>
    <t>Group Homes</t>
  </si>
  <si>
    <t>2018 MRS inflation adjusted</t>
  </si>
  <si>
    <t>Licensed/Star 2</t>
  </si>
  <si>
    <t>http://www.newmexicokids.org/wp-content/uploads/2018-MRS-Report_June18.pdf</t>
  </si>
  <si>
    <t>Toddler</t>
  </si>
  <si>
    <t>Centers</t>
  </si>
  <si>
    <t>Group Home</t>
  </si>
  <si>
    <t>Licensed Home</t>
  </si>
  <si>
    <t>STAR 2+</t>
  </si>
  <si>
    <t>{NOT USED IN MODEL}</t>
  </si>
  <si>
    <t>STAR 3</t>
  </si>
  <si>
    <t>STAR 4</t>
  </si>
  <si>
    <t>STAR 5</t>
  </si>
  <si>
    <t>RURAL</t>
  </si>
  <si>
    <t>75th percentile, Metro</t>
  </si>
  <si>
    <t>2 star</t>
  </si>
  <si>
    <t>2 Star+</t>
  </si>
  <si>
    <t>Group Hones</t>
  </si>
  <si>
    <t>N/A</t>
  </si>
  <si>
    <t xml:space="preserve">3 y o </t>
  </si>
  <si>
    <t>4 y o</t>
  </si>
  <si>
    <t>school ag</t>
  </si>
  <si>
    <t>Licensed FCC</t>
  </si>
  <si>
    <t>75th percentile, Rural</t>
  </si>
  <si>
    <t>CHILD AND ADULT CARE FOOD PROGRAM (CACFP)</t>
  </si>
  <si>
    <t>Per Meal Rates in Whole or Fractions of U.S. Dollars</t>
  </si>
  <si>
    <t>DO NOT ALTER = used in formulas on other spreadsheets</t>
  </si>
  <si>
    <t>Family Income Eligibility</t>
  </si>
  <si>
    <t>Breakfast</t>
  </si>
  <si>
    <t>Lunch /Supper</t>
  </si>
  <si>
    <t>Snack</t>
  </si>
  <si>
    <t xml:space="preserve">Daily </t>
  </si>
  <si>
    <t>breakfast and 2 snacks (part-day program)</t>
  </si>
  <si>
    <t>185% and up</t>
  </si>
  <si>
    <t>PAID</t>
  </si>
  <si>
    <t>&lt;185% FPL</t>
  </si>
  <si>
    <t>REDUCED PRICE</t>
  </si>
  <si>
    <t>&lt;130% FPL</t>
  </si>
  <si>
    <t>FREE</t>
  </si>
  <si>
    <t>average</t>
  </si>
  <si>
    <t>1 breakfast,1  lunch or dinner and 2 snacks</t>
  </si>
  <si>
    <t>Homes</t>
  </si>
  <si>
    <t>Daily</t>
  </si>
  <si>
    <t>Tier I</t>
  </si>
  <si>
    <t>Tier II</t>
  </si>
  <si>
    <t>per child/permonth</t>
  </si>
  <si>
    <t>75% SMI eligibility</t>
  </si>
  <si>
    <t>STATEWIDE</t>
  </si>
  <si>
    <t>New mexico PreK</t>
  </si>
  <si>
    <t>about 213% FPL</t>
  </si>
  <si>
    <t xml:space="preserve">HS </t>
  </si>
  <si>
    <t>Public school</t>
  </si>
  <si>
    <t>mixed age</t>
  </si>
  <si>
    <t>extended day</t>
  </si>
  <si>
    <t>basic</t>
  </si>
  <si>
    <t>Annual calculations</t>
  </si>
  <si>
    <t>https://www.newmexicoprek.org/wp-content/uploads/2020/04/PreK-Program-Rate-Schedule.REVISED.4.2020.pdf</t>
  </si>
  <si>
    <t>10 month calculations</t>
  </si>
  <si>
    <t>Min wage ($15)</t>
  </si>
  <si>
    <t>To lead</t>
  </si>
  <si>
    <t>to asst</t>
  </si>
  <si>
    <t>to director</t>
  </si>
  <si>
    <t xml:space="preserve">Confirm: do we use this column b, data collection in any place, need to raise the lead teacher. </t>
  </si>
  <si>
    <t>Min wage ($18)</t>
  </si>
  <si>
    <t>$15 min wage</t>
  </si>
  <si>
    <t>$18 min wage</t>
  </si>
  <si>
    <t>FY19 Data collection</t>
  </si>
  <si>
    <t>https://www.govinfo.gov/content/pkg/FR-2021-07-07/pdf/2021-14435.pdf</t>
  </si>
  <si>
    <t>Effective from July 1, 2021 - June 30, 2022</t>
  </si>
  <si>
    <t>FY19 Survey Data collection</t>
  </si>
  <si>
    <t>FY19 Interview data collection</t>
  </si>
  <si>
    <t>base rate</t>
  </si>
  <si>
    <t>Updated rates</t>
  </si>
  <si>
    <t>2022 update</t>
  </si>
  <si>
    <t>CACFP rates update to 2021-2022 rates</t>
  </si>
  <si>
    <t xml:space="preserve">Subsidy rates updated </t>
  </si>
  <si>
    <t>Market rate inflation adjustment</t>
  </si>
  <si>
    <t>KFF health insurance number updated to most recent</t>
  </si>
  <si>
    <t>Inflation Feb 2018 to Mar 2022</t>
  </si>
  <si>
    <t>https://www.bls.gov/data/inflation_calculator.htm</t>
  </si>
  <si>
    <t>inflation adjustment</t>
  </si>
  <si>
    <t>Nonpersonnel costs adjusted for inflation</t>
  </si>
  <si>
    <t>Min wage ($20)</t>
  </si>
  <si>
    <t>2021 average employer contribution to employer-based health insurance:   https://www.kff.org/other/state-indicator/single-coverage/?currentTimeframe=0&amp;sortModel=%7B%22colId%22:%22Location%22,%22sort%22:%22asc%22%7D</t>
  </si>
  <si>
    <t>School age Transportation</t>
  </si>
  <si>
    <t>COLA</t>
  </si>
  <si>
    <t>$20 min wage</t>
  </si>
  <si>
    <t>Toddlers - School Age</t>
  </si>
  <si>
    <t>Developed for New Mexico ECECD by Prenatal to Five Fiscal Strategies.</t>
  </si>
  <si>
    <t>Monthly Cost per Child</t>
  </si>
  <si>
    <t>Weekly Cost per Child</t>
  </si>
  <si>
    <t>RESULTS - Program Level</t>
  </si>
  <si>
    <t>Wages</t>
  </si>
  <si>
    <t xml:space="preserve">Total Personnel </t>
  </si>
  <si>
    <t>Total Staff (FTE)</t>
  </si>
  <si>
    <t>Teaching Staff (FTE)</t>
  </si>
  <si>
    <t>Education Program Expenses</t>
  </si>
  <si>
    <t>Program Mgmt &amp; Admin</t>
  </si>
  <si>
    <t>Operating Reserve</t>
  </si>
  <si>
    <t>TOTAL EXPENSE</t>
  </si>
  <si>
    <t>INCOME</t>
  </si>
  <si>
    <t>CACFP</t>
  </si>
  <si>
    <t>Tuition</t>
  </si>
  <si>
    <t>Other Income</t>
  </si>
  <si>
    <t>Adjustment for bad debt and enrollment efficiency</t>
  </si>
  <si>
    <t>Annual Revenue less Expenses, Profit/(loss)</t>
  </si>
  <si>
    <t>Percent of expenses</t>
  </si>
  <si>
    <t>TOTAL INCOME</t>
  </si>
  <si>
    <t>Annual, per child</t>
  </si>
  <si>
    <t>Monthly, per child</t>
  </si>
  <si>
    <t>Weekly, per child</t>
  </si>
  <si>
    <t>RESULTS</t>
  </si>
  <si>
    <t>Cost/Subsidy Gap</t>
  </si>
  <si>
    <t xml:space="preserve">Items in YELLOW shaded cells are for INPUT to model different center 'profiles'. </t>
  </si>
  <si>
    <t>New Mexico Child Care Cost Estimation Model (FY24)</t>
  </si>
  <si>
    <t>FOCUS Level</t>
  </si>
  <si>
    <t>Salary level floor</t>
  </si>
  <si>
    <t>Subsidy Rates FY21</t>
  </si>
  <si>
    <t>Total across subsidy =</t>
  </si>
  <si>
    <t>Modelo de estimación de costos de cuidado infantil de Nuevo México año fiscal 2024</t>
  </si>
  <si>
    <t>Nivel de FOCUS</t>
  </si>
  <si>
    <t>Licencia/Estrella 2</t>
  </si>
  <si>
    <t>Estrella 2+/3</t>
  </si>
  <si>
    <t>Estrella 4</t>
  </si>
  <si>
    <t>Estrella 5</t>
  </si>
  <si>
    <t>HOGARES DE CUIDADO INFANTIL FAMILIAR</t>
  </si>
  <si>
    <t xml:space="preserve">Los elementos en las celdas sombreadas en AMARILLO son para ENTRADA para modelar diferentes 'perfiles' de programas. </t>
  </si>
  <si>
    <t>INSCRIPCIÓN</t>
  </si>
  <si>
    <t># Niños/Edad</t>
  </si>
  <si>
    <t>Grupos de edad</t>
  </si>
  <si>
    <t>Infantes</t>
  </si>
  <si>
    <t>niños de dos años</t>
  </si>
  <si>
    <t>niños de tres años</t>
  </si>
  <si>
    <t>niños de cuatro años</t>
  </si>
  <si>
    <t>edad escolar</t>
  </si>
  <si>
    <t>TOTAL de niños</t>
  </si>
  <si>
    <t>EFICIENCIA</t>
  </si>
  <si>
    <r>
      <rPr>
        <b/>
        <i/>
        <sz val="10"/>
        <color rgb="FF000000"/>
        <rFont val="Arial"/>
        <family val="2"/>
      </rPr>
      <t xml:space="preserve">Matrícula </t>
    </r>
    <r>
      <rPr>
        <i/>
        <sz val="10"/>
        <color rgb="FF000000"/>
        <rFont val="Arial"/>
        <family val="2"/>
      </rPr>
      <t>como % de la capacidad total con personal</t>
    </r>
  </si>
  <si>
    <r>
      <rPr>
        <b/>
        <i/>
        <sz val="10"/>
        <color rgb="FF000000"/>
        <rFont val="Arial"/>
        <family val="2"/>
      </rPr>
      <t xml:space="preserve">Deuda incobrable </t>
    </r>
    <r>
      <rPr>
        <i/>
        <sz val="10"/>
        <color rgb="FF000000"/>
        <rFont val="Arial"/>
        <family val="2"/>
      </rPr>
      <t>como % de los ingresos no recaudados</t>
    </r>
  </si>
  <si>
    <t>85-95% es típico</t>
  </si>
  <si>
    <t>Acerca de 3% es tipico</t>
  </si>
  <si>
    <t>Nivel de salario</t>
  </si>
  <si>
    <t>Salarios</t>
  </si>
  <si>
    <t>Salario mínimo de $15</t>
  </si>
  <si>
    <t>GANANCIA</t>
  </si>
  <si>
    <t>Ingrese el número de niños por edad que reciben cada tipo de subsidio usando solo las celdas AMARILLAS en la tabla a continuación. Pago privado no debe ser negativa</t>
  </si>
  <si>
    <t>Subsidio estatal para cuidado infantil</t>
  </si>
  <si>
    <t>Pago Privado</t>
  </si>
  <si>
    <t>Total de todos los subsidios =</t>
  </si>
  <si>
    <t>Porcentaje de subsidio =</t>
  </si>
  <si>
    <t>RESULTADOS - Nivel de programa</t>
  </si>
  <si>
    <t>Personal total</t>
  </si>
  <si>
    <t>GASTOS</t>
  </si>
  <si>
    <t>Beneficios</t>
  </si>
  <si>
    <t>Administración/Oficina</t>
  </si>
  <si>
    <t>Gastos relacionados con el programa</t>
  </si>
  <si>
    <t>Ocupación</t>
  </si>
  <si>
    <t>Reserva Operativa</t>
  </si>
  <si>
    <t>Total no personal</t>
  </si>
  <si>
    <t>Gastos total</t>
  </si>
  <si>
    <t>INGRESOS</t>
  </si>
  <si>
    <t>Pago privado</t>
  </si>
  <si>
    <t>Subsidio</t>
  </si>
  <si>
    <t>Otros ingresos</t>
  </si>
  <si>
    <t>INGRESOS TOTAL</t>
  </si>
  <si>
    <t>Ajuste por deuda incobrable y eficiencia de inscripción</t>
  </si>
  <si>
    <t>Ingresos anuales menos gastos, ganancias/(pérdidas)</t>
  </si>
  <si>
    <t>Porcentaje de gastos</t>
  </si>
  <si>
    <t>RESULTADOS</t>
  </si>
  <si>
    <t>Costo anual por niño</t>
  </si>
  <si>
    <t>Costo mensual por niño</t>
  </si>
  <si>
    <t>Costo semanal por niño</t>
  </si>
  <si>
    <t>Tasas de subsidio del año fiscal 21</t>
  </si>
  <si>
    <t>Anual, por niño</t>
  </si>
  <si>
    <t>Mensual, por niño</t>
  </si>
  <si>
    <t>Semanal, por niño</t>
  </si>
  <si>
    <t>Brecha</t>
  </si>
  <si>
    <t>CPC con diferencia de edad</t>
  </si>
  <si>
    <t xml:space="preserve">CPC Anual </t>
  </si>
  <si>
    <t xml:space="preserve">CPC Mensual </t>
  </si>
  <si>
    <t xml:space="preserve">CPC Semanal </t>
  </si>
  <si>
    <t>Anual</t>
  </si>
  <si>
    <t>Mensual</t>
  </si>
  <si>
    <t>Semanal</t>
  </si>
  <si>
    <t>Desarrollado para New Mexico ECECD por Prenatal to Five Fiscal Strategies.</t>
  </si>
  <si>
    <t>Brecha con diferencia de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</si>
</sst>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0.0"/>
    <numFmt numFmtId="167" formatCode="_(&quot;$&quot;* #,##0_);_(&quot;$&quot;* \(#,##0\);_(&quot;$&quot;* &quot;-&quot;??_);_(@_)"/>
    <numFmt numFmtId="168" formatCode="&quot;$&quot;#,##0;[Red]&quot;$&quot;#,##0"/>
    <numFmt numFmtId="169" formatCode="_(* #,##0_);_(* \(#,##0\);_(* &quot;-&quot;??_);_(@_)"/>
    <numFmt numFmtId="170" formatCode="_(&quot;$&quot;* #,##0.0_);_(&quot;$&quot;* \(#,##0.0\);_(&quot;$&quot;* &quot;-&quot;??_);_(@_)"/>
    <numFmt numFmtId="171" formatCode="0_);[Red]\(0\)"/>
    <numFmt numFmtId="172" formatCode="\$0"/>
    <numFmt numFmtId="173" formatCode="0.0%"/>
    <numFmt numFmtId="174" formatCode="_(* #,##0_);_(* \(#,##0\);_(* &quot;-&quot;?_);_(@_)"/>
    <numFmt numFmtId="175" formatCode="_(* #,##0.0_);_(* \(#,##0.0\);_(* &quot;-&quot;?_);_(@_)"/>
    <numFmt numFmtId="176" formatCode="_(* #,##0.000_);_(* \(#,##0.000\);_(* &quot;-&quot;??_);_(@_)"/>
    <numFmt numFmtId="177" formatCode="0.0000"/>
    <numFmt numFmtId="178" formatCode="&quot;$&quot;#,##0.0000"/>
  </numFmts>
  <fonts count="9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rgb="FFFF0000"/>
      <name val="Arial"/>
      <family val="2"/>
    </font>
    <font>
      <sz val="14"/>
      <name val="Calibri"/>
      <family val="2"/>
    </font>
    <font>
      <sz val="10"/>
      <color theme="0"/>
      <name val="Arial"/>
      <family val="2"/>
    </font>
    <font>
      <sz val="9"/>
      <color rgb="FF000000"/>
      <name val="Tahoma"/>
      <family val="2"/>
    </font>
    <font>
      <b/>
      <sz val="10"/>
      <color theme="1"/>
      <name val="Arial"/>
      <family val="2"/>
    </font>
    <font>
      <sz val="10"/>
      <color theme="2"/>
      <name val="Arial"/>
      <family val="2"/>
    </font>
    <font>
      <sz val="10"/>
      <color rgb="FF000000"/>
      <name val="Times New Roman"/>
      <family val="1"/>
    </font>
    <font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name val="Arial"/>
      <family val="2"/>
    </font>
    <font>
      <b/>
      <sz val="10"/>
      <color theme="0"/>
      <name val="Arial"/>
      <family val="2"/>
    </font>
    <font>
      <sz val="10"/>
      <color rgb="FFFF0000"/>
      <name val="Calibri"/>
      <family val="2"/>
      <scheme val="minor"/>
    </font>
    <font>
      <b/>
      <sz val="12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i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444444"/>
      <name val="Helvetica Neue"/>
      <family val="2"/>
    </font>
    <font>
      <sz val="13"/>
      <color rgb="FF333333"/>
      <name val="Arial"/>
      <family val="2"/>
    </font>
    <font>
      <sz val="11"/>
      <color theme="0"/>
      <name val="Calibri"/>
      <family val="2"/>
      <scheme val="minor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i/>
      <sz val="10"/>
      <color theme="0" tint="-0.499984740745262"/>
      <name val="Arial"/>
      <family val="2"/>
    </font>
    <font>
      <sz val="10"/>
      <name val="TimesNewRomanPSMT"/>
    </font>
    <font>
      <b/>
      <sz val="10"/>
      <name val="TimesNewRomanPS"/>
    </font>
    <font>
      <sz val="10"/>
      <color rgb="FF000000"/>
      <name val="Calibri"/>
      <family val="2"/>
    </font>
    <font>
      <i/>
      <sz val="9"/>
      <color rgb="FFFF0000"/>
      <name val="Arial"/>
      <family val="2"/>
    </font>
    <font>
      <sz val="10"/>
      <color rgb="FFFF0000"/>
      <name val="Times New Roman"/>
      <family val="1"/>
    </font>
    <font>
      <sz val="10"/>
      <color theme="0" tint="-0.249977111117893"/>
      <name val="Arial"/>
      <family val="2"/>
    </font>
    <font>
      <strike/>
      <sz val="1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i/>
      <sz val="10"/>
      <color theme="0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i/>
      <sz val="9"/>
      <color theme="0"/>
      <name val="Arial"/>
      <family val="2"/>
    </font>
    <font>
      <b/>
      <i/>
      <sz val="11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BE5F1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44" fontId="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7" fillId="23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44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9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3" fillId="0" borderId="0" applyFont="0" applyFill="0" applyBorder="0" applyAlignment="0" applyProtection="0"/>
  </cellStyleXfs>
  <cellXfs count="658">
    <xf numFmtId="0" fontId="0" fillId="0" borderId="0" xfId="0"/>
    <xf numFmtId="9" fontId="0" fillId="0" borderId="0" xfId="0" applyNumberFormat="1"/>
    <xf numFmtId="0" fontId="9" fillId="0" borderId="0" xfId="0" applyFont="1"/>
    <xf numFmtId="0" fontId="0" fillId="24" borderId="0" xfId="0" applyFill="1"/>
    <xf numFmtId="0" fontId="0" fillId="0" borderId="0" xfId="0" applyAlignment="1">
      <alignment horizontal="center"/>
    </xf>
    <xf numFmtId="0" fontId="10" fillId="0" borderId="0" xfId="0" applyFont="1"/>
    <xf numFmtId="0" fontId="31" fillId="0" borderId="0" xfId="0" applyFont="1"/>
    <xf numFmtId="6" fontId="30" fillId="0" borderId="0" xfId="0" applyNumberFormat="1" applyFont="1"/>
    <xf numFmtId="0" fontId="3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6" fontId="0" fillId="0" borderId="0" xfId="0" applyNumberFormat="1"/>
    <xf numFmtId="164" fontId="0" fillId="0" borderId="0" xfId="0" applyNumberFormat="1"/>
    <xf numFmtId="9" fontId="0" fillId="24" borderId="0" xfId="0" applyNumberFormat="1" applyFill="1"/>
    <xf numFmtId="6" fontId="33" fillId="0" borderId="0" xfId="0" applyNumberFormat="1" applyFont="1"/>
    <xf numFmtId="6" fontId="7" fillId="0" borderId="0" xfId="0" applyNumberFormat="1" applyFont="1"/>
    <xf numFmtId="6" fontId="9" fillId="0" borderId="0" xfId="0" applyNumberFormat="1" applyFont="1"/>
    <xf numFmtId="2" fontId="0" fillId="0" borderId="0" xfId="0" applyNumberFormat="1"/>
    <xf numFmtId="2" fontId="9" fillId="0" borderId="0" xfId="0" applyNumberFormat="1" applyFont="1"/>
    <xf numFmtId="0" fontId="33" fillId="0" borderId="0" xfId="0" applyFont="1" applyAlignment="1">
      <alignment horizontal="right"/>
    </xf>
    <xf numFmtId="8" fontId="0" fillId="0" borderId="0" xfId="0" applyNumberFormat="1"/>
    <xf numFmtId="0" fontId="9" fillId="0" borderId="0" xfId="0" applyFont="1" applyAlignment="1">
      <alignment horizontal="right"/>
    </xf>
    <xf numFmtId="0" fontId="21" fillId="0" borderId="0" xfId="35" applyAlignment="1" applyProtection="1"/>
    <xf numFmtId="0" fontId="9" fillId="25" borderId="0" xfId="0" applyFont="1" applyFill="1"/>
    <xf numFmtId="0" fontId="0" fillId="25" borderId="0" xfId="0" applyFill="1"/>
    <xf numFmtId="165" fontId="0" fillId="0" borderId="0" xfId="0" applyNumberFormat="1"/>
    <xf numFmtId="0" fontId="0" fillId="26" borderId="0" xfId="0" applyFill="1"/>
    <xf numFmtId="0" fontId="0" fillId="28" borderId="0" xfId="0" applyFill="1"/>
    <xf numFmtId="9" fontId="0" fillId="0" borderId="0" xfId="44" applyFont="1"/>
    <xf numFmtId="0" fontId="7" fillId="0" borderId="0" xfId="0" applyFont="1"/>
    <xf numFmtId="0" fontId="7" fillId="0" borderId="0" xfId="0" quotePrefix="1" applyFont="1"/>
    <xf numFmtId="165" fontId="7" fillId="0" borderId="0" xfId="0" applyNumberFormat="1" applyFont="1"/>
    <xf numFmtId="0" fontId="7" fillId="0" borderId="0" xfId="0" applyFont="1" applyAlignment="1">
      <alignment horizontal="right"/>
    </xf>
    <xf numFmtId="8" fontId="7" fillId="0" borderId="0" xfId="0" applyNumberFormat="1" applyFont="1"/>
    <xf numFmtId="0" fontId="7" fillId="0" borderId="0" xfId="0" applyFont="1" applyAlignment="1">
      <alignment horizontal="left"/>
    </xf>
    <xf numFmtId="166" fontId="9" fillId="0" borderId="0" xfId="0" applyNumberFormat="1" applyFont="1"/>
    <xf numFmtId="6" fontId="0" fillId="28" borderId="0" xfId="0" applyNumberFormat="1" applyFill="1"/>
    <xf numFmtId="0" fontId="0" fillId="0" borderId="0" xfId="0" applyAlignment="1">
      <alignment horizontal="left" vertical="top"/>
    </xf>
    <xf numFmtId="0" fontId="0" fillId="0" borderId="15" xfId="0" applyBorder="1"/>
    <xf numFmtId="0" fontId="7" fillId="0" borderId="15" xfId="0" applyFont="1" applyBorder="1"/>
    <xf numFmtId="0" fontId="0" fillId="0" borderId="12" xfId="0" applyBorder="1"/>
    <xf numFmtId="0" fontId="0" fillId="0" borderId="10" xfId="0" applyBorder="1"/>
    <xf numFmtId="6" fontId="30" fillId="0" borderId="15" xfId="0" applyNumberFormat="1" applyFont="1" applyBorder="1"/>
    <xf numFmtId="6" fontId="9" fillId="0" borderId="15" xfId="0" applyNumberFormat="1" applyFont="1" applyBorder="1"/>
    <xf numFmtId="6" fontId="0" fillId="0" borderId="15" xfId="0" applyNumberFormat="1" applyBorder="1"/>
    <xf numFmtId="0" fontId="9" fillId="0" borderId="1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38" fillId="0" borderId="11" xfId="0" applyFont="1" applyBorder="1"/>
    <xf numFmtId="0" fontId="10" fillId="0" borderId="11" xfId="0" applyFont="1" applyBorder="1"/>
    <xf numFmtId="0" fontId="32" fillId="0" borderId="0" xfId="0" applyFont="1" applyAlignment="1">
      <alignment wrapText="1"/>
    </xf>
    <xf numFmtId="0" fontId="10" fillId="0" borderId="16" xfId="0" applyFont="1" applyBorder="1"/>
    <xf numFmtId="0" fontId="9" fillId="0" borderId="12" xfId="0" applyFont="1" applyBorder="1"/>
    <xf numFmtId="165" fontId="9" fillId="0" borderId="12" xfId="0" applyNumberFormat="1" applyFont="1" applyBorder="1"/>
    <xf numFmtId="0" fontId="7" fillId="28" borderId="25" xfId="0" applyFont="1" applyFill="1" applyBorder="1" applyAlignment="1">
      <alignment horizontal="right"/>
    </xf>
    <xf numFmtId="165" fontId="7" fillId="28" borderId="26" xfId="0" applyNumberFormat="1" applyFont="1" applyFill="1" applyBorder="1"/>
    <xf numFmtId="0" fontId="7" fillId="28" borderId="27" xfId="0" applyFont="1" applyFill="1" applyBorder="1" applyAlignment="1">
      <alignment horizontal="right"/>
    </xf>
    <xf numFmtId="165" fontId="0" fillId="28" borderId="28" xfId="0" applyNumberFormat="1" applyFill="1" applyBorder="1"/>
    <xf numFmtId="165" fontId="7" fillId="28" borderId="28" xfId="0" applyNumberFormat="1" applyFont="1" applyFill="1" applyBorder="1"/>
    <xf numFmtId="0" fontId="7" fillId="28" borderId="29" xfId="0" applyFont="1" applyFill="1" applyBorder="1" applyAlignment="1">
      <alignment horizontal="right"/>
    </xf>
    <xf numFmtId="0" fontId="38" fillId="28" borderId="30" xfId="0" applyFont="1" applyFill="1" applyBorder="1"/>
    <xf numFmtId="0" fontId="33" fillId="0" borderId="0" xfId="0" applyFont="1"/>
    <xf numFmtId="166" fontId="7" fillId="0" borderId="0" xfId="0" applyNumberFormat="1" applyFont="1" applyAlignment="1">
      <alignment horizontal="right"/>
    </xf>
    <xf numFmtId="2" fontId="43" fillId="0" borderId="0" xfId="0" applyNumberFormat="1" applyFont="1"/>
    <xf numFmtId="9" fontId="7" fillId="0" borderId="0" xfId="44" applyFont="1" applyFill="1"/>
    <xf numFmtId="166" fontId="0" fillId="0" borderId="0" xfId="0" applyNumberFormat="1" applyAlignment="1">
      <alignment horizontal="right"/>
    </xf>
    <xf numFmtId="165" fontId="9" fillId="0" borderId="0" xfId="0" applyNumberFormat="1" applyFont="1"/>
    <xf numFmtId="0" fontId="8" fillId="0" borderId="0" xfId="0" applyFont="1"/>
    <xf numFmtId="10" fontId="7" fillId="0" borderId="0" xfId="0" applyNumberFormat="1" applyFont="1"/>
    <xf numFmtId="10" fontId="0" fillId="0" borderId="0" xfId="0" applyNumberFormat="1"/>
    <xf numFmtId="9" fontId="8" fillId="0" borderId="0" xfId="0" applyNumberFormat="1" applyFont="1"/>
    <xf numFmtId="6" fontId="10" fillId="0" borderId="0" xfId="0" applyNumberFormat="1" applyFont="1"/>
    <xf numFmtId="166" fontId="10" fillId="0" borderId="0" xfId="0" applyNumberFormat="1" applyFont="1"/>
    <xf numFmtId="0" fontId="44" fillId="0" borderId="0" xfId="0" applyFont="1"/>
    <xf numFmtId="8" fontId="36" fillId="0" borderId="0" xfId="0" applyNumberFormat="1" applyFont="1"/>
    <xf numFmtId="9" fontId="7" fillId="0" borderId="0" xfId="0" applyNumberFormat="1" applyFont="1"/>
    <xf numFmtId="0" fontId="7" fillId="0" borderId="11" xfId="0" applyFont="1" applyBorder="1"/>
    <xf numFmtId="167" fontId="0" fillId="0" borderId="0" xfId="28" applyNumberFormat="1" applyFont="1"/>
    <xf numFmtId="0" fontId="41" fillId="0" borderId="0" xfId="0" applyFont="1"/>
    <xf numFmtId="0" fontId="7" fillId="0" borderId="12" xfId="0" applyFont="1" applyBorder="1"/>
    <xf numFmtId="0" fontId="0" fillId="0" borderId="12" xfId="0" applyBorder="1" applyAlignment="1" applyProtection="1">
      <alignment wrapText="1"/>
      <protection locked="0"/>
    </xf>
    <xf numFmtId="0" fontId="7" fillId="0" borderId="12" xfId="0" quotePrefix="1" applyFont="1" applyBorder="1" applyAlignment="1">
      <alignment horizontal="right" wrapText="1"/>
    </xf>
    <xf numFmtId="9" fontId="0" fillId="0" borderId="0" xfId="44" applyFont="1" applyFill="1" applyBorder="1"/>
    <xf numFmtId="6" fontId="30" fillId="0" borderId="10" xfId="0" applyNumberFormat="1" applyFont="1" applyBorder="1"/>
    <xf numFmtId="165" fontId="7" fillId="0" borderId="12" xfId="0" applyNumberFormat="1" applyFont="1" applyBorder="1"/>
    <xf numFmtId="0" fontId="10" fillId="0" borderId="14" xfId="0" applyFont="1" applyBorder="1"/>
    <xf numFmtId="0" fontId="7" fillId="0" borderId="10" xfId="0" applyFont="1" applyBorder="1"/>
    <xf numFmtId="0" fontId="9" fillId="0" borderId="0" xfId="0" applyFont="1" applyAlignment="1">
      <alignment wrapText="1"/>
    </xf>
    <xf numFmtId="0" fontId="0" fillId="27" borderId="11" xfId="0" applyFill="1" applyBorder="1" applyAlignment="1">
      <alignment horizontal="center" vertical="center"/>
    </xf>
    <xf numFmtId="0" fontId="7" fillId="27" borderId="34" xfId="0" applyFont="1" applyFill="1" applyBorder="1" applyAlignment="1" applyProtection="1">
      <alignment horizontal="center" vertical="center"/>
      <protection locked="0"/>
    </xf>
    <xf numFmtId="0" fontId="7" fillId="27" borderId="35" xfId="0" applyFont="1" applyFill="1" applyBorder="1" applyAlignment="1" applyProtection="1">
      <alignment horizontal="center" vertical="center"/>
      <protection locked="0"/>
    </xf>
    <xf numFmtId="0" fontId="0" fillId="30" borderId="19" xfId="0" applyFill="1" applyBorder="1"/>
    <xf numFmtId="0" fontId="0" fillId="30" borderId="21" xfId="0" applyFill="1" applyBorder="1"/>
    <xf numFmtId="6" fontId="0" fillId="30" borderId="32" xfId="0" applyNumberForma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10" fontId="41" fillId="27" borderId="0" xfId="0" applyNumberFormat="1" applyFont="1" applyFill="1"/>
    <xf numFmtId="0" fontId="41" fillId="0" borderId="33" xfId="0" applyFont="1" applyBorder="1" applyAlignment="1">
      <alignment vertical="center"/>
    </xf>
    <xf numFmtId="0" fontId="41" fillId="0" borderId="33" xfId="0" applyFont="1" applyBorder="1" applyAlignment="1">
      <alignment horizontal="center" vertical="center"/>
    </xf>
    <xf numFmtId="44" fontId="51" fillId="0" borderId="0" xfId="28" applyFont="1"/>
    <xf numFmtId="6" fontId="7" fillId="29" borderId="15" xfId="0" applyNumberFormat="1" applyFont="1" applyFill="1" applyBorder="1"/>
    <xf numFmtId="0" fontId="38" fillId="32" borderId="23" xfId="0" applyFont="1" applyFill="1" applyBorder="1"/>
    <xf numFmtId="0" fontId="0" fillId="32" borderId="24" xfId="0" applyFill="1" applyBorder="1"/>
    <xf numFmtId="0" fontId="7" fillId="32" borderId="19" xfId="0" applyFont="1" applyFill="1" applyBorder="1"/>
    <xf numFmtId="44" fontId="0" fillId="32" borderId="20" xfId="28" applyFont="1" applyFill="1" applyBorder="1"/>
    <xf numFmtId="0" fontId="0" fillId="32" borderId="21" xfId="0" applyFill="1" applyBorder="1"/>
    <xf numFmtId="44" fontId="0" fillId="32" borderId="22" xfId="0" applyNumberFormat="1" applyFill="1" applyBorder="1"/>
    <xf numFmtId="0" fontId="9" fillId="32" borderId="19" xfId="0" applyFont="1" applyFill="1" applyBorder="1" applyAlignment="1">
      <alignment horizontal="right"/>
    </xf>
    <xf numFmtId="44" fontId="0" fillId="32" borderId="39" xfId="28" applyFont="1" applyFill="1" applyBorder="1"/>
    <xf numFmtId="3" fontId="0" fillId="0" borderId="12" xfId="0" applyNumberFormat="1" applyBorder="1"/>
    <xf numFmtId="0" fontId="7" fillId="0" borderId="40" xfId="0" applyFont="1" applyBorder="1"/>
    <xf numFmtId="6" fontId="30" fillId="0" borderId="19" xfId="0" applyNumberFormat="1" applyFont="1" applyBorder="1"/>
    <xf numFmtId="6" fontId="30" fillId="0" borderId="20" xfId="0" applyNumberFormat="1" applyFont="1" applyBorder="1"/>
    <xf numFmtId="0" fontId="9" fillId="0" borderId="41" xfId="0" applyFont="1" applyBorder="1"/>
    <xf numFmtId="9" fontId="9" fillId="0" borderId="15" xfId="44" applyFont="1" applyBorder="1"/>
    <xf numFmtId="0" fontId="9" fillId="33" borderId="0" xfId="0" applyFont="1" applyFill="1"/>
    <xf numFmtId="0" fontId="0" fillId="33" borderId="0" xfId="0" applyFill="1"/>
    <xf numFmtId="0" fontId="7" fillId="0" borderId="0" xfId="63"/>
    <xf numFmtId="0" fontId="9" fillId="25" borderId="0" xfId="63" applyFont="1" applyFill="1"/>
    <xf numFmtId="0" fontId="9" fillId="0" borderId="0" xfId="63" applyFont="1" applyAlignment="1">
      <alignment horizontal="right"/>
    </xf>
    <xf numFmtId="0" fontId="10" fillId="0" borderId="0" xfId="63" applyFont="1"/>
    <xf numFmtId="0" fontId="7" fillId="0" borderId="0" xfId="63" applyAlignment="1">
      <alignment wrapText="1"/>
    </xf>
    <xf numFmtId="0" fontId="9" fillId="0" borderId="0" xfId="63" applyFont="1"/>
    <xf numFmtId="0" fontId="39" fillId="0" borderId="0" xfId="63" applyFont="1"/>
    <xf numFmtId="0" fontId="38" fillId="0" borderId="0" xfId="63" applyFont="1"/>
    <xf numFmtId="6" fontId="7" fillId="0" borderId="0" xfId="63" applyNumberFormat="1"/>
    <xf numFmtId="0" fontId="7" fillId="0" borderId="0" xfId="63" applyAlignment="1">
      <alignment horizontal="left" vertical="top"/>
    </xf>
    <xf numFmtId="0" fontId="10" fillId="0" borderId="0" xfId="63" applyFont="1" applyAlignment="1">
      <alignment wrapText="1"/>
    </xf>
    <xf numFmtId="0" fontId="7" fillId="24" borderId="0" xfId="63" applyFill="1"/>
    <xf numFmtId="44" fontId="7" fillId="0" borderId="0" xfId="63" applyNumberFormat="1"/>
    <xf numFmtId="0" fontId="7" fillId="28" borderId="0" xfId="63" applyFill="1"/>
    <xf numFmtId="0" fontId="7" fillId="25" borderId="0" xfId="63" applyFill="1" applyAlignment="1">
      <alignment wrapText="1"/>
    </xf>
    <xf numFmtId="0" fontId="7" fillId="25" borderId="0" xfId="63" applyFill="1"/>
    <xf numFmtId="0" fontId="7" fillId="0" borderId="0" xfId="60" applyFont="1"/>
    <xf numFmtId="0" fontId="33" fillId="0" borderId="0" xfId="63" applyFont="1"/>
    <xf numFmtId="0" fontId="1" fillId="0" borderId="0" xfId="60"/>
    <xf numFmtId="0" fontId="33" fillId="0" borderId="0" xfId="63" applyFont="1" applyAlignment="1">
      <alignment horizontal="right"/>
    </xf>
    <xf numFmtId="165" fontId="7" fillId="0" borderId="0" xfId="63" applyNumberFormat="1" applyAlignment="1">
      <alignment wrapText="1"/>
    </xf>
    <xf numFmtId="164" fontId="7" fillId="0" borderId="0" xfId="63" applyNumberFormat="1"/>
    <xf numFmtId="1" fontId="7" fillId="0" borderId="0" xfId="63" applyNumberFormat="1"/>
    <xf numFmtId="8" fontId="7" fillId="0" borderId="0" xfId="63" applyNumberFormat="1"/>
    <xf numFmtId="9" fontId="7" fillId="0" borderId="0" xfId="63" applyNumberFormat="1"/>
    <xf numFmtId="0" fontId="9" fillId="0" borderId="0" xfId="63" applyFont="1" applyAlignment="1">
      <alignment wrapText="1"/>
    </xf>
    <xf numFmtId="165" fontId="9" fillId="0" borderId="12" xfId="63" applyNumberFormat="1" applyFont="1" applyBorder="1"/>
    <xf numFmtId="0" fontId="57" fillId="0" borderId="0" xfId="60" applyFont="1" applyAlignment="1">
      <alignment horizontal="right"/>
    </xf>
    <xf numFmtId="0" fontId="58" fillId="0" borderId="0" xfId="63" applyFont="1" applyAlignment="1">
      <alignment wrapText="1"/>
    </xf>
    <xf numFmtId="0" fontId="59" fillId="0" borderId="0" xfId="63" applyFont="1"/>
    <xf numFmtId="0" fontId="56" fillId="0" borderId="32" xfId="63" applyFont="1" applyBorder="1" applyAlignment="1">
      <alignment wrapText="1"/>
    </xf>
    <xf numFmtId="0" fontId="9" fillId="0" borderId="32" xfId="63" applyFont="1" applyBorder="1"/>
    <xf numFmtId="0" fontId="7" fillId="0" borderId="32" xfId="63" applyBorder="1"/>
    <xf numFmtId="0" fontId="56" fillId="0" borderId="0" xfId="63" applyFont="1" applyAlignment="1">
      <alignment wrapText="1"/>
    </xf>
    <xf numFmtId="0" fontId="34" fillId="0" borderId="0" xfId="63" applyFont="1" applyAlignment="1">
      <alignment horizontal="center"/>
    </xf>
    <xf numFmtId="169" fontId="7" fillId="0" borderId="0" xfId="61" applyNumberFormat="1" applyFont="1" applyBorder="1"/>
    <xf numFmtId="0" fontId="7" fillId="0" borderId="0" xfId="63" applyAlignment="1">
      <alignment horizontal="center"/>
    </xf>
    <xf numFmtId="43" fontId="7" fillId="0" borderId="12" xfId="61" applyFont="1" applyBorder="1"/>
    <xf numFmtId="0" fontId="7" fillId="0" borderId="12" xfId="63" applyBorder="1"/>
    <xf numFmtId="169" fontId="9" fillId="0" borderId="12" xfId="61" applyNumberFormat="1" applyFont="1" applyBorder="1"/>
    <xf numFmtId="165" fontId="7" fillId="0" borderId="0" xfId="63" applyNumberFormat="1"/>
    <xf numFmtId="10" fontId="7" fillId="0" borderId="0" xfId="63" applyNumberFormat="1"/>
    <xf numFmtId="165" fontId="9" fillId="0" borderId="0" xfId="63" applyNumberFormat="1" applyFont="1"/>
    <xf numFmtId="164" fontId="7" fillId="0" borderId="0" xfId="63" applyNumberFormat="1" applyAlignment="1">
      <alignment horizontal="right"/>
    </xf>
    <xf numFmtId="0" fontId="9" fillId="0" borderId="0" xfId="63" applyFont="1" applyAlignment="1">
      <alignment horizontal="right" wrapText="1"/>
    </xf>
    <xf numFmtId="10" fontId="9" fillId="0" borderId="12" xfId="63" applyNumberFormat="1" applyFont="1" applyBorder="1"/>
    <xf numFmtId="2" fontId="7" fillId="0" borderId="0" xfId="63" applyNumberFormat="1"/>
    <xf numFmtId="0" fontId="7" fillId="0" borderId="0" xfId="63" applyAlignment="1">
      <alignment horizontal="left" wrapText="1"/>
    </xf>
    <xf numFmtId="0" fontId="7" fillId="0" borderId="0" xfId="63" applyAlignment="1">
      <alignment horizontal="left"/>
    </xf>
    <xf numFmtId="5" fontId="7" fillId="0" borderId="0" xfId="63" applyNumberFormat="1"/>
    <xf numFmtId="0" fontId="60" fillId="0" borderId="32" xfId="63" applyFont="1" applyBorder="1" applyAlignment="1">
      <alignment wrapText="1"/>
    </xf>
    <xf numFmtId="0" fontId="47" fillId="0" borderId="32" xfId="63" applyFont="1" applyBorder="1"/>
    <xf numFmtId="0" fontId="47" fillId="0" borderId="0" xfId="63" applyFont="1"/>
    <xf numFmtId="165" fontId="9" fillId="0" borderId="0" xfId="63" applyNumberFormat="1" applyFont="1" applyAlignment="1">
      <alignment horizontal="right"/>
    </xf>
    <xf numFmtId="0" fontId="7" fillId="0" borderId="0" xfId="63" applyAlignment="1">
      <alignment horizontal="right"/>
    </xf>
    <xf numFmtId="0" fontId="38" fillId="0" borderId="0" xfId="0" applyFont="1"/>
    <xf numFmtId="8" fontId="37" fillId="0" borderId="0" xfId="0" applyNumberFormat="1" applyFont="1" applyAlignment="1">
      <alignment vertical="center"/>
    </xf>
    <xf numFmtId="3" fontId="0" fillId="0" borderId="0" xfId="0" applyNumberFormat="1"/>
    <xf numFmtId="165" fontId="7" fillId="0" borderId="17" xfId="0" applyNumberFormat="1" applyFont="1" applyBorder="1"/>
    <xf numFmtId="0" fontId="7" fillId="0" borderId="18" xfId="28" applyNumberFormat="1" applyFont="1" applyFill="1" applyBorder="1"/>
    <xf numFmtId="165" fontId="7" fillId="0" borderId="15" xfId="0" applyNumberFormat="1" applyFont="1" applyBorder="1"/>
    <xf numFmtId="0" fontId="7" fillId="0" borderId="13" xfId="28" applyNumberFormat="1" applyFont="1" applyFill="1" applyBorder="1"/>
    <xf numFmtId="165" fontId="7" fillId="0" borderId="10" xfId="0" applyNumberFormat="1" applyFont="1" applyBorder="1"/>
    <xf numFmtId="9" fontId="7" fillId="0" borderId="42" xfId="44" applyFont="1" applyFill="1" applyBorder="1"/>
    <xf numFmtId="165" fontId="7" fillId="29" borderId="0" xfId="0" applyNumberFormat="1" applyFont="1" applyFill="1"/>
    <xf numFmtId="165" fontId="7" fillId="0" borderId="0" xfId="0" applyNumberFormat="1" applyFont="1" applyAlignment="1">
      <alignment horizontal="right"/>
    </xf>
    <xf numFmtId="6" fontId="61" fillId="0" borderId="19" xfId="0" applyNumberFormat="1" applyFont="1" applyBorder="1"/>
    <xf numFmtId="6" fontId="61" fillId="0" borderId="20" xfId="0" applyNumberFormat="1" applyFont="1" applyBorder="1"/>
    <xf numFmtId="43" fontId="7" fillId="0" borderId="0" xfId="63" applyNumberFormat="1"/>
    <xf numFmtId="0" fontId="7" fillId="0" borderId="0" xfId="61" applyNumberFormat="1" applyFont="1" applyFill="1" applyBorder="1"/>
    <xf numFmtId="0" fontId="7" fillId="0" borderId="0" xfId="61" applyNumberFormat="1" applyFont="1" applyBorder="1"/>
    <xf numFmtId="44" fontId="7" fillId="27" borderId="0" xfId="28" applyFill="1" applyAlignment="1">
      <alignment horizontal="left"/>
    </xf>
    <xf numFmtId="164" fontId="51" fillId="0" borderId="11" xfId="28" applyNumberFormat="1" applyFont="1" applyBorder="1"/>
    <xf numFmtId="164" fontId="51" fillId="31" borderId="36" xfId="28" applyNumberFormat="1" applyFont="1" applyFill="1" applyBorder="1" applyAlignment="1">
      <alignment horizontal="center" vertical="center" wrapText="1" readingOrder="1"/>
    </xf>
    <xf numFmtId="164" fontId="51" fillId="0" borderId="0" xfId="28" applyNumberFormat="1" applyFont="1"/>
    <xf numFmtId="9" fontId="7" fillId="0" borderId="0" xfId="44" applyFont="1" applyFill="1" applyBorder="1"/>
    <xf numFmtId="9" fontId="0" fillId="0" borderId="0" xfId="44" applyFont="1" applyBorder="1"/>
    <xf numFmtId="0" fontId="62" fillId="0" borderId="0" xfId="0" applyFont="1"/>
    <xf numFmtId="0" fontId="9" fillId="0" borderId="11" xfId="0" applyFont="1" applyBorder="1" applyAlignment="1">
      <alignment wrapText="1"/>
    </xf>
    <xf numFmtId="8" fontId="0" fillId="0" borderId="11" xfId="0" applyNumberFormat="1" applyBorder="1"/>
    <xf numFmtId="167" fontId="9" fillId="0" borderId="11" xfId="28" applyNumberFormat="1" applyFont="1" applyFill="1" applyBorder="1" applyAlignment="1">
      <alignment horizontal="left" wrapText="1"/>
    </xf>
    <xf numFmtId="2" fontId="9" fillId="0" borderId="12" xfId="0" applyNumberFormat="1" applyFont="1" applyBorder="1"/>
    <xf numFmtId="0" fontId="0" fillId="34" borderId="23" xfId="0" applyFill="1" applyBorder="1"/>
    <xf numFmtId="6" fontId="0" fillId="34" borderId="31" xfId="0" applyNumberFormat="1" applyFill="1" applyBorder="1" applyAlignment="1">
      <alignment horizontal="center" vertical="center"/>
    </xf>
    <xf numFmtId="0" fontId="0" fillId="34" borderId="19" xfId="0" applyFill="1" applyBorder="1"/>
    <xf numFmtId="0" fontId="0" fillId="34" borderId="21" xfId="0" applyFill="1" applyBorder="1"/>
    <xf numFmtId="6" fontId="0" fillId="34" borderId="32" xfId="0" applyNumberFormat="1" applyFill="1" applyBorder="1" applyAlignment="1">
      <alignment horizontal="center" vertical="center"/>
    </xf>
    <xf numFmtId="43" fontId="0" fillId="0" borderId="0" xfId="67" applyFont="1"/>
    <xf numFmtId="0" fontId="7" fillId="0" borderId="0" xfId="0" applyFont="1" applyAlignment="1">
      <alignment wrapText="1"/>
    </xf>
    <xf numFmtId="10" fontId="0" fillId="0" borderId="0" xfId="44" applyNumberFormat="1" applyFont="1"/>
    <xf numFmtId="164" fontId="0" fillId="0" borderId="0" xfId="44" applyNumberFormat="1" applyFont="1"/>
    <xf numFmtId="0" fontId="9" fillId="0" borderId="14" xfId="0" applyFont="1" applyBorder="1"/>
    <xf numFmtId="44" fontId="0" fillId="0" borderId="0" xfId="28" applyFont="1"/>
    <xf numFmtId="9" fontId="7" fillId="0" borderId="0" xfId="44" applyFont="1"/>
    <xf numFmtId="44" fontId="0" fillId="0" borderId="0" xfId="28" applyFont="1" applyFill="1" applyBorder="1"/>
    <xf numFmtId="0" fontId="0" fillId="28" borderId="0" xfId="0" applyFill="1" applyAlignment="1" applyProtection="1">
      <alignment vertical="center" wrapText="1"/>
      <protection locked="0"/>
    </xf>
    <xf numFmtId="0" fontId="7" fillId="28" borderId="0" xfId="0" quotePrefix="1" applyFont="1" applyFill="1" applyAlignment="1">
      <alignment horizontal="right" vertical="center" wrapText="1"/>
    </xf>
    <xf numFmtId="8" fontId="7" fillId="0" borderId="11" xfId="0" applyNumberFormat="1" applyFont="1" applyBorder="1" applyAlignment="1">
      <alignment vertical="center" wrapText="1"/>
    </xf>
    <xf numFmtId="6" fontId="0" fillId="34" borderId="20" xfId="0" applyNumberFormat="1" applyFill="1" applyBorder="1" applyAlignment="1">
      <alignment horizontal="center" vertical="center"/>
    </xf>
    <xf numFmtId="6" fontId="0" fillId="34" borderId="22" xfId="0" applyNumberFormat="1" applyFill="1" applyBorder="1" applyAlignment="1">
      <alignment horizontal="center" vertical="center"/>
    </xf>
    <xf numFmtId="6" fontId="7" fillId="0" borderId="11" xfId="0" applyNumberFormat="1" applyFont="1" applyBorder="1" applyAlignment="1">
      <alignment vertical="center"/>
    </xf>
    <xf numFmtId="165" fontId="0" fillId="0" borderId="11" xfId="0" applyNumberFormat="1" applyBorder="1" applyAlignment="1">
      <alignment vertical="center"/>
    </xf>
    <xf numFmtId="6" fontId="10" fillId="0" borderId="15" xfId="0" applyNumberFormat="1" applyFont="1" applyBorder="1"/>
    <xf numFmtId="167" fontId="0" fillId="0" borderId="15" xfId="28" applyNumberFormat="1" applyFont="1" applyFill="1" applyBorder="1"/>
    <xf numFmtId="6" fontId="0" fillId="0" borderId="16" xfId="0" applyNumberFormat="1" applyBorder="1"/>
    <xf numFmtId="0" fontId="7" fillId="0" borderId="16" xfId="0" applyFont="1" applyBorder="1"/>
    <xf numFmtId="6" fontId="0" fillId="0" borderId="14" xfId="0" applyNumberFormat="1" applyBorder="1"/>
    <xf numFmtId="0" fontId="10" fillId="0" borderId="15" xfId="0" applyFont="1" applyBorder="1"/>
    <xf numFmtId="0" fontId="9" fillId="0" borderId="10" xfId="0" applyFont="1" applyBorder="1" applyAlignment="1">
      <alignment wrapText="1"/>
    </xf>
    <xf numFmtId="8" fontId="0" fillId="0" borderId="10" xfId="0" applyNumberFormat="1" applyBorder="1"/>
    <xf numFmtId="8" fontId="9" fillId="0" borderId="10" xfId="0" applyNumberFormat="1" applyFont="1" applyBorder="1"/>
    <xf numFmtId="0" fontId="9" fillId="0" borderId="44" xfId="0" applyFont="1" applyBorder="1" applyAlignment="1">
      <alignment wrapText="1"/>
    </xf>
    <xf numFmtId="8" fontId="7" fillId="0" borderId="19" xfId="0" applyNumberFormat="1" applyFont="1" applyBorder="1"/>
    <xf numFmtId="0" fontId="0" fillId="0" borderId="22" xfId="0" applyBorder="1"/>
    <xf numFmtId="0" fontId="7" fillId="0" borderId="24" xfId="0" applyFont="1" applyBorder="1"/>
    <xf numFmtId="8" fontId="0" fillId="0" borderId="20" xfId="0" applyNumberFormat="1" applyBorder="1"/>
    <xf numFmtId="6" fontId="0" fillId="27" borderId="11" xfId="0" applyNumberFormat="1" applyFill="1" applyBorder="1" applyAlignment="1">
      <alignment horizontal="left"/>
    </xf>
    <xf numFmtId="9" fontId="51" fillId="0" borderId="0" xfId="44" applyFont="1"/>
    <xf numFmtId="0" fontId="65" fillId="0" borderId="17" xfId="60" applyFont="1" applyBorder="1"/>
    <xf numFmtId="165" fontId="66" fillId="0" borderId="15" xfId="63" applyNumberFormat="1" applyFont="1" applyBorder="1" applyAlignment="1">
      <alignment wrapText="1"/>
    </xf>
    <xf numFmtId="0" fontId="66" fillId="0" borderId="0" xfId="63" applyFont="1"/>
    <xf numFmtId="165" fontId="66" fillId="0" borderId="43" xfId="63" applyNumberFormat="1" applyFont="1" applyBorder="1" applyAlignment="1">
      <alignment wrapText="1"/>
    </xf>
    <xf numFmtId="0" fontId="66" fillId="0" borderId="45" xfId="63" applyFont="1" applyBorder="1"/>
    <xf numFmtId="0" fontId="67" fillId="0" borderId="0" xfId="60" applyFont="1"/>
    <xf numFmtId="165" fontId="10" fillId="0" borderId="21" xfId="0" applyNumberFormat="1" applyFont="1" applyBorder="1" applyAlignment="1">
      <alignment horizontal="left" vertical="top" wrapText="1"/>
    </xf>
    <xf numFmtId="165" fontId="10" fillId="0" borderId="22" xfId="0" applyNumberFormat="1" applyFont="1" applyBorder="1" applyAlignment="1">
      <alignment horizontal="left" vertical="top" wrapText="1"/>
    </xf>
    <xf numFmtId="171" fontId="0" fillId="0" borderId="11" xfId="0" applyNumberFormat="1" applyBorder="1"/>
    <xf numFmtId="1" fontId="0" fillId="0" borderId="11" xfId="0" applyNumberFormat="1" applyBorder="1"/>
    <xf numFmtId="1" fontId="56" fillId="35" borderId="14" xfId="0" applyNumberFormat="1" applyFont="1" applyFill="1" applyBorder="1"/>
    <xf numFmtId="9" fontId="0" fillId="0" borderId="16" xfId="44" applyFont="1" applyFill="1" applyBorder="1"/>
    <xf numFmtId="0" fontId="47" fillId="0" borderId="0" xfId="0" applyFont="1"/>
    <xf numFmtId="1" fontId="33" fillId="0" borderId="0" xfId="0" applyNumberFormat="1" applyFont="1"/>
    <xf numFmtId="0" fontId="7" fillId="36" borderId="0" xfId="63" applyFill="1"/>
    <xf numFmtId="0" fontId="7" fillId="0" borderId="0" xfId="63" quotePrefix="1"/>
    <xf numFmtId="0" fontId="7" fillId="0" borderId="0" xfId="63" applyAlignment="1">
      <alignment horizontal="center" wrapText="1"/>
    </xf>
    <xf numFmtId="8" fontId="7" fillId="28" borderId="0" xfId="63" applyNumberFormat="1" applyFill="1"/>
    <xf numFmtId="0" fontId="49" fillId="0" borderId="0" xfId="62" applyAlignment="1">
      <alignment horizontal="left" vertical="top"/>
    </xf>
    <xf numFmtId="0" fontId="68" fillId="37" borderId="0" xfId="62" applyFont="1" applyFill="1" applyAlignment="1">
      <alignment horizontal="left" vertical="top"/>
    </xf>
    <xf numFmtId="0" fontId="68" fillId="0" borderId="0" xfId="62" applyFont="1" applyAlignment="1">
      <alignment horizontal="left" vertical="top"/>
    </xf>
    <xf numFmtId="0" fontId="69" fillId="0" borderId="11" xfId="62" applyFont="1" applyBorder="1" applyAlignment="1">
      <alignment horizontal="left" vertical="top"/>
    </xf>
    <xf numFmtId="0" fontId="70" fillId="0" borderId="11" xfId="63" applyFont="1" applyBorder="1"/>
    <xf numFmtId="0" fontId="68" fillId="0" borderId="11" xfId="62" applyFont="1" applyBorder="1" applyAlignment="1">
      <alignment horizontal="left" vertical="top"/>
    </xf>
    <xf numFmtId="172" fontId="68" fillId="0" borderId="11" xfId="62" applyNumberFormat="1" applyFont="1" applyBorder="1" applyAlignment="1">
      <alignment horizontal="left" vertical="top"/>
    </xf>
    <xf numFmtId="172" fontId="68" fillId="0" borderId="0" xfId="62" applyNumberFormat="1" applyFont="1" applyAlignment="1">
      <alignment horizontal="left" vertical="top"/>
    </xf>
    <xf numFmtId="172" fontId="68" fillId="0" borderId="15" xfId="62" applyNumberFormat="1" applyFont="1" applyBorder="1" applyAlignment="1">
      <alignment horizontal="left" vertical="top"/>
    </xf>
    <xf numFmtId="6" fontId="10" fillId="0" borderId="11" xfId="0" applyNumberFormat="1" applyFont="1" applyBorder="1"/>
    <xf numFmtId="2" fontId="10" fillId="0" borderId="11" xfId="0" applyNumberFormat="1" applyFont="1" applyBorder="1"/>
    <xf numFmtId="0" fontId="9" fillId="37" borderId="0" xfId="63" applyFont="1" applyFill="1"/>
    <xf numFmtId="0" fontId="7" fillId="0" borderId="0" xfId="63" applyAlignment="1">
      <alignment vertical="top" wrapText="1"/>
    </xf>
    <xf numFmtId="0" fontId="7" fillId="38" borderId="0" xfId="63" applyFill="1" applyAlignment="1">
      <alignment wrapText="1"/>
    </xf>
    <xf numFmtId="44" fontId="36" fillId="0" borderId="0" xfId="63" applyNumberFormat="1" applyFont="1"/>
    <xf numFmtId="6" fontId="36" fillId="0" borderId="0" xfId="63" applyNumberFormat="1" applyFont="1"/>
    <xf numFmtId="0" fontId="7" fillId="0" borderId="16" xfId="63" applyBorder="1"/>
    <xf numFmtId="0" fontId="7" fillId="0" borderId="16" xfId="63" applyBorder="1" applyAlignment="1">
      <alignment wrapText="1"/>
    </xf>
    <xf numFmtId="44" fontId="7" fillId="0" borderId="16" xfId="63" applyNumberFormat="1" applyBorder="1"/>
    <xf numFmtId="0" fontId="47" fillId="0" borderId="0" xfId="0" applyFont="1" applyAlignment="1">
      <alignment horizontal="right"/>
    </xf>
    <xf numFmtId="44" fontId="0" fillId="27" borderId="46" xfId="28" applyFont="1" applyFill="1" applyBorder="1"/>
    <xf numFmtId="1" fontId="41" fillId="0" borderId="0" xfId="0" applyNumberFormat="1" applyFont="1"/>
    <xf numFmtId="9" fontId="0" fillId="28" borderId="0" xfId="0" applyNumberFormat="1" applyFill="1"/>
    <xf numFmtId="165" fontId="7" fillId="0" borderId="46" xfId="0" applyNumberFormat="1" applyFont="1" applyBorder="1"/>
    <xf numFmtId="0" fontId="50" fillId="0" borderId="0" xfId="0" applyFont="1"/>
    <xf numFmtId="0" fontId="41" fillId="39" borderId="0" xfId="0" applyFont="1" applyFill="1"/>
    <xf numFmtId="168" fontId="47" fillId="39" borderId="0" xfId="0" applyNumberFormat="1" applyFont="1" applyFill="1"/>
    <xf numFmtId="173" fontId="41" fillId="39" borderId="0" xfId="0" applyNumberFormat="1" applyFont="1" applyFill="1"/>
    <xf numFmtId="165" fontId="7" fillId="27" borderId="0" xfId="0" applyNumberFormat="1" applyFont="1" applyFill="1"/>
    <xf numFmtId="0" fontId="71" fillId="0" borderId="0" xfId="0" applyFont="1"/>
    <xf numFmtId="6" fontId="9" fillId="0" borderId="0" xfId="63" applyNumberFormat="1" applyFont="1"/>
    <xf numFmtId="165" fontId="0" fillId="0" borderId="0" xfId="28" applyNumberFormat="1" applyFont="1"/>
    <xf numFmtId="44" fontId="0" fillId="0" borderId="0" xfId="0" applyNumberFormat="1"/>
    <xf numFmtId="44" fontId="0" fillId="0" borderId="12" xfId="28" applyFont="1" applyFill="1" applyBorder="1"/>
    <xf numFmtId="0" fontId="72" fillId="0" borderId="0" xfId="0" applyFont="1"/>
    <xf numFmtId="165" fontId="7" fillId="0" borderId="0" xfId="63" applyNumberFormat="1" applyAlignment="1">
      <alignment horizontal="right"/>
    </xf>
    <xf numFmtId="9" fontId="7" fillId="27" borderId="0" xfId="63" applyNumberFormat="1" applyFill="1" applyAlignment="1">
      <alignment horizontal="right"/>
    </xf>
    <xf numFmtId="165" fontId="9" fillId="0" borderId="12" xfId="63" applyNumberFormat="1" applyFont="1" applyBorder="1" applyAlignment="1">
      <alignment horizontal="right"/>
    </xf>
    <xf numFmtId="44" fontId="7" fillId="0" borderId="0" xfId="28"/>
    <xf numFmtId="1" fontId="7" fillId="0" borderId="15" xfId="0" applyNumberFormat="1" applyFont="1" applyBorder="1"/>
    <xf numFmtId="164" fontId="9" fillId="0" borderId="12" xfId="63" applyNumberFormat="1" applyFont="1" applyBorder="1"/>
    <xf numFmtId="164" fontId="73" fillId="0" borderId="0" xfId="60" applyNumberFormat="1" applyFont="1"/>
    <xf numFmtId="164" fontId="45" fillId="0" borderId="0" xfId="63" applyNumberFormat="1" applyFont="1"/>
    <xf numFmtId="0" fontId="41" fillId="0" borderId="0" xfId="63" applyFont="1" applyAlignment="1">
      <alignment wrapText="1"/>
    </xf>
    <xf numFmtId="0" fontId="49" fillId="0" borderId="11" xfId="62" applyBorder="1" applyAlignment="1">
      <alignment horizontal="left" vertical="top"/>
    </xf>
    <xf numFmtId="0" fontId="74" fillId="0" borderId="11" xfId="62" applyFont="1" applyBorder="1" applyAlignment="1">
      <alignment horizontal="left" vertical="top"/>
    </xf>
    <xf numFmtId="10" fontId="49" fillId="0" borderId="11" xfId="62" applyNumberFormat="1" applyBorder="1" applyAlignment="1">
      <alignment horizontal="left" vertical="top"/>
    </xf>
    <xf numFmtId="0" fontId="75" fillId="0" borderId="0" xfId="62" applyFont="1" applyAlignment="1">
      <alignment horizontal="left" vertical="top"/>
    </xf>
    <xf numFmtId="0" fontId="76" fillId="0" borderId="0" xfId="62" applyFont="1" applyAlignment="1">
      <alignment horizontal="left" vertical="top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4" fontId="52" fillId="31" borderId="38" xfId="28" applyNumberFormat="1" applyFont="1" applyFill="1" applyBorder="1" applyAlignment="1">
      <alignment horizontal="right" vertical="center" wrapText="1" readingOrder="1"/>
    </xf>
    <xf numFmtId="164" fontId="51" fillId="31" borderId="36" xfId="28" applyNumberFormat="1" applyFont="1" applyFill="1" applyBorder="1" applyAlignment="1">
      <alignment horizontal="right" vertical="center" wrapText="1" readingOrder="1"/>
    </xf>
    <xf numFmtId="164" fontId="77" fillId="0" borderId="11" xfId="0" applyNumberFormat="1" applyFont="1" applyBorder="1"/>
    <xf numFmtId="0" fontId="77" fillId="0" borderId="11" xfId="0" applyFont="1" applyBorder="1"/>
    <xf numFmtId="0" fontId="77" fillId="0" borderId="0" xfId="0" applyFont="1"/>
    <xf numFmtId="9" fontId="77" fillId="0" borderId="0" xfId="44" applyFont="1"/>
    <xf numFmtId="0" fontId="78" fillId="0" borderId="11" xfId="0" applyFont="1" applyBorder="1"/>
    <xf numFmtId="9" fontId="78" fillId="0" borderId="11" xfId="0" applyNumberFormat="1" applyFont="1" applyBorder="1"/>
    <xf numFmtId="10" fontId="77" fillId="0" borderId="0" xfId="44" applyNumberFormat="1" applyFont="1"/>
    <xf numFmtId="164" fontId="77" fillId="0" borderId="0" xfId="0" applyNumberFormat="1" applyFont="1"/>
    <xf numFmtId="10" fontId="64" fillId="0" borderId="0" xfId="44" applyNumberFormat="1" applyFont="1"/>
    <xf numFmtId="9" fontId="64" fillId="0" borderId="0" xfId="44" applyFont="1"/>
    <xf numFmtId="0" fontId="45" fillId="0" borderId="0" xfId="63" applyFont="1"/>
    <xf numFmtId="6" fontId="0" fillId="27" borderId="11" xfId="0" applyNumberFormat="1" applyFill="1" applyBorder="1" applyAlignment="1">
      <alignment horizontal="center" vertical="top"/>
    </xf>
    <xf numFmtId="6" fontId="0" fillId="27" borderId="45" xfId="0" applyNumberFormat="1" applyFill="1" applyBorder="1" applyAlignment="1">
      <alignment horizontal="center" vertical="top"/>
    </xf>
    <xf numFmtId="0" fontId="78" fillId="0" borderId="0" xfId="0" applyFont="1"/>
    <xf numFmtId="0" fontId="78" fillId="27" borderId="11" xfId="0" applyFont="1" applyFill="1" applyBorder="1"/>
    <xf numFmtId="0" fontId="79" fillId="0" borderId="11" xfId="0" applyFont="1" applyBorder="1"/>
    <xf numFmtId="0" fontId="77" fillId="27" borderId="11" xfId="0" applyFont="1" applyFill="1" applyBorder="1"/>
    <xf numFmtId="164" fontId="80" fillId="0" borderId="11" xfId="0" applyNumberFormat="1" applyFont="1" applyBorder="1"/>
    <xf numFmtId="164" fontId="80" fillId="0" borderId="11" xfId="0" applyNumberFormat="1" applyFont="1" applyBorder="1" applyAlignment="1">
      <alignment horizontal="right"/>
    </xf>
    <xf numFmtId="0" fontId="78" fillId="27" borderId="10" xfId="0" applyFont="1" applyFill="1" applyBorder="1"/>
    <xf numFmtId="0" fontId="78" fillId="0" borderId="11" xfId="0" applyFont="1" applyBorder="1" applyAlignment="1">
      <alignment wrapText="1"/>
    </xf>
    <xf numFmtId="9" fontId="81" fillId="0" borderId="11" xfId="0" applyNumberFormat="1" applyFont="1" applyBorder="1"/>
    <xf numFmtId="164" fontId="80" fillId="31" borderId="37" xfId="28" applyNumberFormat="1" applyFont="1" applyFill="1" applyBorder="1" applyAlignment="1">
      <alignment horizontal="right" vertical="center" wrapText="1" readingOrder="1"/>
    </xf>
    <xf numFmtId="0" fontId="7" fillId="28" borderId="0" xfId="0" applyFont="1" applyFill="1" applyProtection="1">
      <protection locked="0"/>
    </xf>
    <xf numFmtId="0" fontId="7" fillId="0" borderId="0" xfId="35" applyFont="1" applyAlignment="1" applyProtection="1"/>
    <xf numFmtId="9" fontId="0" fillId="24" borderId="0" xfId="0" applyNumberFormat="1" applyFill="1" applyAlignment="1">
      <alignment vertical="center"/>
    </xf>
    <xf numFmtId="0" fontId="9" fillId="0" borderId="31" xfId="0" applyFont="1" applyBorder="1" applyAlignment="1">
      <alignment wrapText="1"/>
    </xf>
    <xf numFmtId="0" fontId="7" fillId="0" borderId="0" xfId="0" applyFont="1" applyAlignment="1">
      <alignment horizontal="left" vertical="top" wrapText="1"/>
    </xf>
    <xf numFmtId="167" fontId="7" fillId="0" borderId="0" xfId="28" applyNumberFormat="1" applyFont="1" applyFill="1"/>
    <xf numFmtId="167" fontId="7" fillId="0" borderId="0" xfId="28" applyNumberFormat="1"/>
    <xf numFmtId="9" fontId="7" fillId="0" borderId="32" xfId="44" applyBorder="1"/>
    <xf numFmtId="9" fontId="7" fillId="0" borderId="0" xfId="63" applyNumberFormat="1" applyAlignment="1">
      <alignment horizontal="right"/>
    </xf>
    <xf numFmtId="0" fontId="82" fillId="0" borderId="0" xfId="63" applyFont="1"/>
    <xf numFmtId="164" fontId="66" fillId="0" borderId="0" xfId="63" applyNumberFormat="1" applyFont="1"/>
    <xf numFmtId="164" fontId="66" fillId="0" borderId="12" xfId="63" applyNumberFormat="1" applyFont="1" applyBorder="1"/>
    <xf numFmtId="164" fontId="1" fillId="0" borderId="0" xfId="60" applyNumberFormat="1"/>
    <xf numFmtId="167" fontId="0" fillId="0" borderId="0" xfId="0" applyNumberFormat="1"/>
    <xf numFmtId="169" fontId="7" fillId="0" borderId="0" xfId="63" applyNumberFormat="1"/>
    <xf numFmtId="0" fontId="83" fillId="0" borderId="0" xfId="0" applyFont="1"/>
    <xf numFmtId="0" fontId="84" fillId="0" borderId="0" xfId="0" applyFont="1"/>
    <xf numFmtId="43" fontId="66" fillId="0" borderId="16" xfId="63" applyNumberFormat="1" applyFont="1" applyBorder="1"/>
    <xf numFmtId="9" fontId="9" fillId="0" borderId="0" xfId="63" applyNumberFormat="1" applyFont="1" applyAlignment="1">
      <alignment horizontal="right"/>
    </xf>
    <xf numFmtId="165" fontId="10" fillId="0" borderId="12" xfId="63" applyNumberFormat="1" applyFont="1" applyBorder="1" applyAlignment="1">
      <alignment horizontal="right"/>
    </xf>
    <xf numFmtId="164" fontId="10" fillId="0" borderId="0" xfId="63" applyNumberFormat="1" applyFont="1"/>
    <xf numFmtId="44" fontId="34" fillId="0" borderId="0" xfId="63" applyNumberFormat="1" applyFont="1"/>
    <xf numFmtId="167" fontId="10" fillId="0" borderId="0" xfId="28" applyNumberFormat="1" applyFont="1"/>
    <xf numFmtId="6" fontId="0" fillId="30" borderId="31" xfId="0" applyNumberFormat="1" applyFill="1" applyBorder="1" applyAlignment="1">
      <alignment horizontal="center" vertical="center"/>
    </xf>
    <xf numFmtId="6" fontId="0" fillId="38" borderId="20" xfId="0" applyNumberFormat="1" applyFill="1" applyBorder="1" applyAlignment="1">
      <alignment horizontal="center" vertical="center"/>
    </xf>
    <xf numFmtId="6" fontId="0" fillId="38" borderId="32" xfId="0" applyNumberFormat="1" applyFill="1" applyBorder="1" applyAlignment="1">
      <alignment horizontal="center" vertical="center"/>
    </xf>
    <xf numFmtId="6" fontId="0" fillId="38" borderId="22" xfId="0" applyNumberFormat="1" applyFill="1" applyBorder="1" applyAlignment="1">
      <alignment horizontal="center" vertical="center"/>
    </xf>
    <xf numFmtId="0" fontId="7" fillId="38" borderId="19" xfId="63" applyFill="1" applyBorder="1"/>
    <xf numFmtId="0" fontId="7" fillId="38" borderId="21" xfId="63" applyFill="1" applyBorder="1"/>
    <xf numFmtId="6" fontId="7" fillId="38" borderId="32" xfId="63" applyNumberFormat="1" applyFill="1" applyBorder="1" applyAlignment="1">
      <alignment horizontal="center"/>
    </xf>
    <xf numFmtId="174" fontId="7" fillId="0" borderId="0" xfId="63" applyNumberFormat="1"/>
    <xf numFmtId="0" fontId="64" fillId="0" borderId="0" xfId="63" applyFont="1"/>
    <xf numFmtId="3" fontId="85" fillId="0" borderId="0" xfId="0" applyNumberFormat="1" applyFont="1"/>
    <xf numFmtId="164" fontId="52" fillId="42" borderId="37" xfId="28" applyNumberFormat="1" applyFont="1" applyFill="1" applyBorder="1" applyAlignment="1">
      <alignment horizontal="right" vertical="center" wrapText="1" readingOrder="1"/>
    </xf>
    <xf numFmtId="164" fontId="51" fillId="42" borderId="11" xfId="28" applyNumberFormat="1" applyFont="1" applyFill="1" applyBorder="1" applyAlignment="1">
      <alignment horizontal="right"/>
    </xf>
    <xf numFmtId="6" fontId="7" fillId="0" borderId="45" xfId="0" applyNumberFormat="1" applyFont="1" applyBorder="1"/>
    <xf numFmtId="6" fontId="0" fillId="0" borderId="11" xfId="0" applyNumberFormat="1" applyBorder="1"/>
    <xf numFmtId="0" fontId="7" fillId="0" borderId="0" xfId="0" applyFont="1" applyAlignment="1">
      <alignment vertical="top" wrapText="1"/>
    </xf>
    <xf numFmtId="0" fontId="45" fillId="0" borderId="0" xfId="0" applyFont="1" applyAlignment="1">
      <alignment vertical="top" wrapText="1"/>
    </xf>
    <xf numFmtId="0" fontId="10" fillId="0" borderId="0" xfId="0" applyFont="1" applyAlignment="1">
      <alignment horizontal="right" vertical="top" wrapText="1"/>
    </xf>
    <xf numFmtId="0" fontId="7" fillId="27" borderId="11" xfId="0" applyFont="1" applyFill="1" applyBorder="1" applyAlignment="1">
      <alignment vertical="top" wrapText="1"/>
    </xf>
    <xf numFmtId="0" fontId="68" fillId="43" borderId="0" xfId="62" applyFont="1" applyFill="1" applyAlignment="1">
      <alignment horizontal="left" vertical="top"/>
    </xf>
    <xf numFmtId="0" fontId="87" fillId="0" borderId="11" xfId="62" applyFont="1" applyBorder="1" applyAlignment="1">
      <alignment horizontal="left" vertical="top"/>
    </xf>
    <xf numFmtId="1" fontId="10" fillId="0" borderId="11" xfId="0" applyNumberFormat="1" applyFont="1" applyBorder="1"/>
    <xf numFmtId="1" fontId="50" fillId="0" borderId="11" xfId="0" applyNumberFormat="1" applyFont="1" applyBorder="1"/>
    <xf numFmtId="165" fontId="10" fillId="0" borderId="0" xfId="0" applyNumberFormat="1" applyFont="1"/>
    <xf numFmtId="0" fontId="0" fillId="0" borderId="0" xfId="63" applyFont="1"/>
    <xf numFmtId="164" fontId="88" fillId="0" borderId="0" xfId="63" applyNumberFormat="1" applyFont="1"/>
    <xf numFmtId="175" fontId="88" fillId="0" borderId="0" xfId="63" applyNumberFormat="1" applyFont="1"/>
    <xf numFmtId="43" fontId="0" fillId="0" borderId="0" xfId="63" applyNumberFormat="1" applyFont="1"/>
    <xf numFmtId="167" fontId="7" fillId="0" borderId="0" xfId="28" applyNumberFormat="1" applyBorder="1"/>
    <xf numFmtId="174" fontId="1" fillId="0" borderId="0" xfId="60" applyNumberFormat="1"/>
    <xf numFmtId="174" fontId="45" fillId="0" borderId="0" xfId="63" applyNumberFormat="1" applyFont="1"/>
    <xf numFmtId="43" fontId="45" fillId="0" borderId="0" xfId="63" applyNumberFormat="1" applyFont="1"/>
    <xf numFmtId="2" fontId="45" fillId="0" borderId="0" xfId="65" applyNumberFormat="1" applyFont="1" applyBorder="1"/>
    <xf numFmtId="43" fontId="7" fillId="0" borderId="0" xfId="66" applyNumberFormat="1" applyFont="1" applyBorder="1"/>
    <xf numFmtId="176" fontId="7" fillId="0" borderId="0" xfId="61" applyNumberFormat="1" applyFont="1" applyFill="1" applyBorder="1" applyAlignment="1">
      <alignment horizontal="right"/>
    </xf>
    <xf numFmtId="0" fontId="9" fillId="27" borderId="11" xfId="0" applyFont="1" applyFill="1" applyBorder="1" applyAlignment="1">
      <alignment vertical="top" wrapText="1"/>
    </xf>
    <xf numFmtId="6" fontId="7" fillId="0" borderId="46" xfId="0" applyNumberFormat="1" applyFont="1" applyBorder="1"/>
    <xf numFmtId="44" fontId="1" fillId="0" borderId="0" xfId="60" applyNumberFormat="1"/>
    <xf numFmtId="0" fontId="21" fillId="0" borderId="0" xfId="35" applyAlignment="1" applyProtection="1">
      <alignment horizontal="left" vertical="top"/>
    </xf>
    <xf numFmtId="1" fontId="49" fillId="0" borderId="0" xfId="62" applyNumberFormat="1" applyAlignment="1">
      <alignment horizontal="left" vertical="top"/>
    </xf>
    <xf numFmtId="9" fontId="49" fillId="0" borderId="0" xfId="44" applyFont="1" applyAlignment="1">
      <alignment horizontal="left" vertical="top"/>
    </xf>
    <xf numFmtId="165" fontId="51" fillId="0" borderId="11" xfId="28" applyNumberFormat="1" applyFont="1" applyBorder="1"/>
    <xf numFmtId="165" fontId="77" fillId="0" borderId="11" xfId="0" applyNumberFormat="1" applyFont="1" applyBorder="1"/>
    <xf numFmtId="1" fontId="0" fillId="0" borderId="0" xfId="0" applyNumberFormat="1"/>
    <xf numFmtId="165" fontId="89" fillId="0" borderId="0" xfId="0" applyNumberFormat="1" applyFont="1"/>
    <xf numFmtId="9" fontId="7" fillId="0" borderId="0" xfId="44" applyFont="1" applyFill="1" applyBorder="1" applyAlignment="1">
      <alignment horizontal="right"/>
    </xf>
    <xf numFmtId="9" fontId="10" fillId="0" borderId="0" xfId="63" applyNumberFormat="1" applyFont="1"/>
    <xf numFmtId="9" fontId="9" fillId="0" borderId="0" xfId="44" applyFont="1" applyBorder="1"/>
    <xf numFmtId="0" fontId="9" fillId="0" borderId="12" xfId="63" applyFont="1" applyBorder="1" applyAlignment="1">
      <alignment horizontal="right"/>
    </xf>
    <xf numFmtId="177" fontId="0" fillId="0" borderId="0" xfId="0" applyNumberFormat="1"/>
    <xf numFmtId="178" fontId="0" fillId="0" borderId="0" xfId="0" applyNumberFormat="1"/>
    <xf numFmtId="0" fontId="78" fillId="27" borderId="14" xfId="0" applyFont="1" applyFill="1" applyBorder="1"/>
    <xf numFmtId="164" fontId="51" fillId="27" borderId="11" xfId="28" applyNumberFormat="1" applyFont="1" applyFill="1" applyBorder="1"/>
    <xf numFmtId="0" fontId="0" fillId="27" borderId="0" xfId="0" applyFill="1"/>
    <xf numFmtId="164" fontId="51" fillId="0" borderId="0" xfId="28" applyNumberFormat="1" applyFont="1" applyBorder="1"/>
    <xf numFmtId="0" fontId="7" fillId="27" borderId="0" xfId="0" applyFont="1" applyFill="1"/>
    <xf numFmtId="10" fontId="0" fillId="27" borderId="0" xfId="0" applyNumberFormat="1" applyFill="1"/>
    <xf numFmtId="44" fontId="0" fillId="27" borderId="0" xfId="28" applyFont="1" applyFill="1" applyBorder="1"/>
    <xf numFmtId="44" fontId="0" fillId="27" borderId="0" xfId="28" applyFont="1" applyFill="1"/>
    <xf numFmtId="0" fontId="38" fillId="28" borderId="0" xfId="0" applyFont="1" applyFill="1"/>
    <xf numFmtId="6" fontId="61" fillId="0" borderId="0" xfId="0" applyNumberFormat="1" applyFont="1"/>
    <xf numFmtId="8" fontId="7" fillId="28" borderId="28" xfId="0" applyNumberFormat="1" applyFont="1" applyFill="1" applyBorder="1"/>
    <xf numFmtId="44" fontId="9" fillId="0" borderId="12" xfId="28" applyFont="1" applyBorder="1"/>
    <xf numFmtId="165" fontId="51" fillId="0" borderId="47" xfId="28" applyNumberFormat="1" applyFont="1" applyFill="1" applyBorder="1" applyAlignment="1">
      <alignment horizontal="right" vertical="center" wrapText="1" readingOrder="1"/>
    </xf>
    <xf numFmtId="165" fontId="51" fillId="0" borderId="10" xfId="28" applyNumberFormat="1" applyFont="1" applyFill="1" applyBorder="1"/>
    <xf numFmtId="165" fontId="52" fillId="27" borderId="48" xfId="28" applyNumberFormat="1" applyFont="1" applyFill="1" applyBorder="1" applyAlignment="1">
      <alignment horizontal="right" vertical="center" wrapText="1" readingOrder="1"/>
    </xf>
    <xf numFmtId="165" fontId="51" fillId="27" borderId="47" xfId="28" applyNumberFormat="1" applyFont="1" applyFill="1" applyBorder="1" applyAlignment="1">
      <alignment horizontal="right" vertical="center" wrapText="1" readingOrder="1"/>
    </xf>
    <xf numFmtId="165" fontId="51" fillId="27" borderId="10" xfId="28" applyNumberFormat="1" applyFont="1" applyFill="1" applyBorder="1"/>
    <xf numFmtId="165" fontId="77" fillId="0" borderId="0" xfId="0" applyNumberFormat="1" applyFont="1"/>
    <xf numFmtId="0" fontId="7" fillId="0" borderId="23" xfId="0" applyFont="1" applyBorder="1"/>
    <xf numFmtId="0" fontId="0" fillId="0" borderId="49" xfId="0" applyBorder="1"/>
    <xf numFmtId="0" fontId="0" fillId="0" borderId="31" xfId="0" applyBorder="1"/>
    <xf numFmtId="0" fontId="0" fillId="0" borderId="24" xfId="0" applyBorder="1"/>
    <xf numFmtId="0" fontId="7" fillId="0" borderId="19" xfId="0" applyFont="1" applyBorder="1"/>
    <xf numFmtId="0" fontId="0" fillId="0" borderId="20" xfId="0" applyBorder="1"/>
    <xf numFmtId="167" fontId="0" fillId="0" borderId="0" xfId="28" applyNumberFormat="1" applyFont="1" applyBorder="1"/>
    <xf numFmtId="0" fontId="0" fillId="0" borderId="19" xfId="0" applyBorder="1"/>
    <xf numFmtId="0" fontId="0" fillId="0" borderId="21" xfId="0" applyBorder="1"/>
    <xf numFmtId="167" fontId="0" fillId="0" borderId="32" xfId="0" applyNumberFormat="1" applyBorder="1"/>
    <xf numFmtId="0" fontId="0" fillId="0" borderId="32" xfId="0" applyBorder="1"/>
    <xf numFmtId="10" fontId="0" fillId="27" borderId="11" xfId="0" applyNumberFormat="1" applyFill="1" applyBorder="1"/>
    <xf numFmtId="0" fontId="9" fillId="44" borderId="11" xfId="0" applyFont="1" applyFill="1" applyBorder="1" applyAlignment="1">
      <alignment wrapText="1"/>
    </xf>
    <xf numFmtId="10" fontId="7" fillId="27" borderId="11" xfId="63" applyNumberFormat="1" applyFill="1" applyBorder="1"/>
    <xf numFmtId="9" fontId="0" fillId="0" borderId="0" xfId="44" applyFont="1" applyFill="1"/>
    <xf numFmtId="44" fontId="0" fillId="0" borderId="0" xfId="28" applyFont="1" applyFill="1"/>
    <xf numFmtId="164" fontId="7" fillId="0" borderId="0" xfId="28" applyNumberFormat="1" applyFont="1"/>
    <xf numFmtId="10" fontId="7" fillId="27" borderId="11" xfId="0" applyNumberFormat="1" applyFont="1" applyFill="1" applyBorder="1"/>
    <xf numFmtId="164" fontId="0" fillId="0" borderId="42" xfId="28" applyNumberFormat="1" applyFont="1" applyFill="1" applyBorder="1"/>
    <xf numFmtId="8" fontId="7" fillId="0" borderId="45" xfId="0" applyNumberFormat="1" applyFont="1" applyBorder="1"/>
    <xf numFmtId="2" fontId="10" fillId="0" borderId="0" xfId="0" applyNumberFormat="1" applyFont="1"/>
    <xf numFmtId="8" fontId="0" fillId="28" borderId="0" xfId="0" applyNumberFormat="1" applyFill="1"/>
    <xf numFmtId="0" fontId="0" fillId="27" borderId="11" xfId="0" applyFill="1" applyBorder="1" applyAlignment="1" applyProtection="1">
      <alignment horizontal="center" vertical="center"/>
      <protection locked="0"/>
    </xf>
    <xf numFmtId="0" fontId="7" fillId="27" borderId="11" xfId="0" applyFont="1" applyFill="1" applyBorder="1" applyAlignment="1" applyProtection="1">
      <alignment horizontal="center" vertical="center"/>
      <protection locked="0"/>
    </xf>
    <xf numFmtId="9" fontId="0" fillId="27" borderId="11" xfId="0" applyNumberFormat="1" applyFill="1" applyBorder="1" applyAlignment="1" applyProtection="1">
      <alignment horizontal="right"/>
      <protection locked="0"/>
    </xf>
    <xf numFmtId="1" fontId="0" fillId="27" borderId="11" xfId="44" applyNumberFormat="1" applyFont="1" applyFill="1" applyBorder="1" applyProtection="1">
      <protection locked="0"/>
    </xf>
    <xf numFmtId="0" fontId="7" fillId="27" borderId="11" xfId="63" applyFill="1" applyBorder="1" applyAlignment="1" applyProtection="1">
      <alignment horizontal="center"/>
      <protection locked="0"/>
    </xf>
    <xf numFmtId="9" fontId="7" fillId="27" borderId="11" xfId="63" applyNumberFormat="1" applyFill="1" applyBorder="1" applyAlignment="1" applyProtection="1">
      <alignment horizontal="right"/>
      <protection locked="0"/>
    </xf>
    <xf numFmtId="6" fontId="9" fillId="30" borderId="31" xfId="0" applyNumberFormat="1" applyFont="1" applyFill="1" applyBorder="1" applyAlignment="1">
      <alignment horizontal="center" vertical="center"/>
    </xf>
    <xf numFmtId="0" fontId="9" fillId="34" borderId="23" xfId="0" applyFont="1" applyFill="1" applyBorder="1"/>
    <xf numFmtId="6" fontId="9" fillId="34" borderId="31" xfId="0" applyNumberFormat="1" applyFont="1" applyFill="1" applyBorder="1" applyAlignment="1">
      <alignment horizontal="center" vertical="center"/>
    </xf>
    <xf numFmtId="0" fontId="45" fillId="29" borderId="0" xfId="0" applyFont="1" applyFill="1"/>
    <xf numFmtId="0" fontId="0" fillId="29" borderId="0" xfId="0" applyFill="1"/>
    <xf numFmtId="0" fontId="48" fillId="29" borderId="0" xfId="0" applyFont="1" applyFill="1"/>
    <xf numFmtId="0" fontId="36" fillId="29" borderId="0" xfId="0" applyFont="1" applyFill="1"/>
    <xf numFmtId="0" fontId="34" fillId="29" borderId="0" xfId="0" applyFont="1" applyFill="1" applyAlignment="1">
      <alignment horizontal="right"/>
    </xf>
    <xf numFmtId="0" fontId="10" fillId="29" borderId="0" xfId="0" applyFont="1" applyFill="1" applyAlignment="1">
      <alignment horizontal="right"/>
    </xf>
    <xf numFmtId="0" fontId="34" fillId="29" borderId="0" xfId="0" applyFont="1" applyFill="1" applyAlignment="1">
      <alignment horizontal="left"/>
    </xf>
    <xf numFmtId="20" fontId="7" fillId="29" borderId="0" xfId="0" quotePrefix="1" applyNumberFormat="1" applyFont="1" applyFill="1" applyAlignment="1">
      <alignment vertical="top" wrapText="1"/>
    </xf>
    <xf numFmtId="20" fontId="7" fillId="29" borderId="0" xfId="0" quotePrefix="1" applyNumberFormat="1" applyFont="1" applyFill="1" applyAlignment="1">
      <alignment horizontal="right"/>
    </xf>
    <xf numFmtId="20" fontId="0" fillId="29" borderId="0" xfId="0" quotePrefix="1" applyNumberFormat="1" applyFill="1" applyAlignment="1">
      <alignment horizontal="right"/>
    </xf>
    <xf numFmtId="0" fontId="7" fillId="29" borderId="0" xfId="0" applyFont="1" applyFill="1"/>
    <xf numFmtId="44" fontId="0" fillId="29" borderId="0" xfId="28" applyFont="1" applyFill="1"/>
    <xf numFmtId="44" fontId="0" fillId="29" borderId="0" xfId="0" applyNumberFormat="1" applyFill="1"/>
    <xf numFmtId="12" fontId="0" fillId="29" borderId="0" xfId="28" applyNumberFormat="1" applyFont="1" applyFill="1"/>
    <xf numFmtId="44" fontId="7" fillId="29" borderId="0" xfId="28" applyFont="1" applyFill="1"/>
    <xf numFmtId="10" fontId="0" fillId="29" borderId="0" xfId="0" applyNumberFormat="1" applyFill="1"/>
    <xf numFmtId="6" fontId="0" fillId="29" borderId="0" xfId="67" applyNumberFormat="1" applyFont="1" applyFill="1"/>
    <xf numFmtId="10" fontId="0" fillId="29" borderId="0" xfId="44" applyNumberFormat="1" applyFont="1" applyFill="1"/>
    <xf numFmtId="167" fontId="0" fillId="29" borderId="0" xfId="28" applyNumberFormat="1" applyFont="1" applyFill="1"/>
    <xf numFmtId="6" fontId="0" fillId="29" borderId="0" xfId="0" applyNumberFormat="1" applyFill="1"/>
    <xf numFmtId="169" fontId="0" fillId="29" borderId="0" xfId="0" applyNumberFormat="1" applyFill="1"/>
    <xf numFmtId="43" fontId="0" fillId="29" borderId="0" xfId="67" applyFont="1" applyFill="1"/>
    <xf numFmtId="170" fontId="0" fillId="29" borderId="0" xfId="28" applyNumberFormat="1" applyFont="1" applyFill="1"/>
    <xf numFmtId="0" fontId="53" fillId="0" borderId="31" xfId="0" applyFont="1" applyBorder="1"/>
    <xf numFmtId="14" fontId="0" fillId="0" borderId="24" xfId="0" applyNumberFormat="1" applyBorder="1" applyAlignment="1">
      <alignment horizontal="left"/>
    </xf>
    <xf numFmtId="0" fontId="54" fillId="41" borderId="0" xfId="63" applyFont="1" applyFill="1" applyAlignment="1">
      <alignment horizontal="left" vertical="center"/>
    </xf>
    <xf numFmtId="0" fontId="42" fillId="27" borderId="0" xfId="0" applyFont="1" applyFill="1"/>
    <xf numFmtId="0" fontId="36" fillId="0" borderId="0" xfId="0" applyFont="1"/>
    <xf numFmtId="0" fontId="36" fillId="0" borderId="20" xfId="0" applyFont="1" applyBorder="1"/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10" fillId="0" borderId="20" xfId="0" applyFont="1" applyBorder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20" xfId="0" applyFont="1" applyBorder="1"/>
    <xf numFmtId="0" fontId="45" fillId="0" borderId="0" xfId="0" applyFont="1" applyProtection="1">
      <protection hidden="1"/>
    </xf>
    <xf numFmtId="0" fontId="54" fillId="0" borderId="0" xfId="0" applyFont="1" applyProtection="1">
      <protection hidden="1"/>
    </xf>
    <xf numFmtId="0" fontId="54" fillId="0" borderId="20" xfId="0" applyFont="1" applyBorder="1" applyProtection="1">
      <protection hidden="1"/>
    </xf>
    <xf numFmtId="0" fontId="9" fillId="26" borderId="0" xfId="0" applyFont="1" applyFill="1" applyAlignment="1">
      <alignment horizontal="left"/>
    </xf>
    <xf numFmtId="0" fontId="34" fillId="0" borderId="0" xfId="0" applyFont="1"/>
    <xf numFmtId="0" fontId="9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5" fillId="0" borderId="0" xfId="0" applyFont="1"/>
    <xf numFmtId="0" fontId="45" fillId="0" borderId="20" xfId="0" applyFont="1" applyBorder="1"/>
    <xf numFmtId="0" fontId="10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92" fillId="0" borderId="0" xfId="0" applyFont="1"/>
    <xf numFmtId="0" fontId="34" fillId="26" borderId="0" xfId="0" applyFont="1" applyFill="1" applyAlignment="1">
      <alignment horizontal="left"/>
    </xf>
    <xf numFmtId="0" fontId="10" fillId="0" borderId="0" xfId="0" applyFont="1" applyAlignment="1">
      <alignment horizontal="left" vertical="top"/>
    </xf>
    <xf numFmtId="6" fontId="0" fillId="0" borderId="0" xfId="0" applyNumberFormat="1" applyAlignment="1">
      <alignment horizontal="left"/>
    </xf>
    <xf numFmtId="9" fontId="7" fillId="0" borderId="0" xfId="0" applyNumberFormat="1" applyFont="1" applyAlignment="1">
      <alignment horizontal="left"/>
    </xf>
    <xf numFmtId="0" fontId="86" fillId="0" borderId="0" xfId="0" applyFont="1"/>
    <xf numFmtId="6" fontId="0" fillId="0" borderId="0" xfId="0" applyNumberFormat="1" applyAlignment="1">
      <alignment horizontal="center" vertical="center"/>
    </xf>
    <xf numFmtId="0" fontId="10" fillId="0" borderId="32" xfId="0" applyFont="1" applyBorder="1"/>
    <xf numFmtId="0" fontId="9" fillId="0" borderId="31" xfId="0" applyFont="1" applyBorder="1"/>
    <xf numFmtId="0" fontId="7" fillId="0" borderId="31" xfId="63" applyBorder="1"/>
    <xf numFmtId="0" fontId="45" fillId="0" borderId="31" xfId="0" applyFont="1" applyBorder="1"/>
    <xf numFmtId="0" fontId="7" fillId="0" borderId="19" xfId="63" applyBorder="1"/>
    <xf numFmtId="0" fontId="7" fillId="29" borderId="0" xfId="63" applyFill="1"/>
    <xf numFmtId="0" fontId="54" fillId="40" borderId="19" xfId="63" applyFont="1" applyFill="1" applyBorder="1" applyAlignment="1">
      <alignment horizontal="left" vertical="center"/>
    </xf>
    <xf numFmtId="0" fontId="42" fillId="27" borderId="19" xfId="63" applyFont="1" applyFill="1" applyBorder="1"/>
    <xf numFmtId="0" fontId="9" fillId="25" borderId="19" xfId="63" applyFont="1" applyFill="1" applyBorder="1"/>
    <xf numFmtId="0" fontId="7" fillId="0" borderId="19" xfId="63" applyBorder="1" applyAlignment="1">
      <alignment wrapText="1"/>
    </xf>
    <xf numFmtId="0" fontId="9" fillId="25" borderId="19" xfId="0" applyFont="1" applyFill="1" applyBorder="1"/>
    <xf numFmtId="0" fontId="7" fillId="0" borderId="19" xfId="0" applyFont="1" applyBorder="1" applyAlignment="1">
      <alignment horizontal="right"/>
    </xf>
    <xf numFmtId="0" fontId="9" fillId="26" borderId="19" xfId="63" applyFont="1" applyFill="1" applyBorder="1" applyAlignment="1">
      <alignment horizontal="left"/>
    </xf>
    <xf numFmtId="0" fontId="9" fillId="0" borderId="19" xfId="63" applyFont="1" applyBorder="1" applyAlignment="1">
      <alignment horizontal="left"/>
    </xf>
    <xf numFmtId="0" fontId="9" fillId="26" borderId="19" xfId="0" applyFont="1" applyFill="1" applyBorder="1" applyAlignment="1">
      <alignment horizontal="left"/>
    </xf>
    <xf numFmtId="0" fontId="40" fillId="0" borderId="19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6" fillId="0" borderId="19" xfId="0" applyFont="1" applyBorder="1"/>
    <xf numFmtId="0" fontId="9" fillId="0" borderId="19" xfId="0" applyFont="1" applyBorder="1"/>
    <xf numFmtId="9" fontId="7" fillId="0" borderId="19" xfId="0" applyNumberFormat="1" applyFont="1" applyBorder="1" applyAlignment="1">
      <alignment horizontal="left"/>
    </xf>
    <xf numFmtId="0" fontId="9" fillId="0" borderId="53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7" fillId="0" borderId="53" xfId="0" applyFont="1" applyBorder="1"/>
    <xf numFmtId="0" fontId="9" fillId="0" borderId="42" xfId="0" applyFont="1" applyBorder="1" applyAlignment="1">
      <alignment wrapText="1"/>
    </xf>
    <xf numFmtId="0" fontId="7" fillId="0" borderId="42" xfId="0" applyFont="1" applyBorder="1"/>
    <xf numFmtId="0" fontId="0" fillId="29" borderId="20" xfId="0" applyFill="1" applyBorder="1"/>
    <xf numFmtId="6" fontId="0" fillId="34" borderId="0" xfId="0" applyNumberFormat="1" applyFill="1" applyAlignment="1">
      <alignment horizontal="center" vertical="center"/>
    </xf>
    <xf numFmtId="0" fontId="0" fillId="38" borderId="24" xfId="0" applyFill="1" applyBorder="1"/>
    <xf numFmtId="0" fontId="0" fillId="38" borderId="19" xfId="0" applyFill="1" applyBorder="1"/>
    <xf numFmtId="0" fontId="0" fillId="38" borderId="20" xfId="0" applyFill="1" applyBorder="1"/>
    <xf numFmtId="0" fontId="7" fillId="38" borderId="19" xfId="0" applyFont="1" applyFill="1" applyBorder="1"/>
    <xf numFmtId="0" fontId="7" fillId="38" borderId="21" xfId="0" applyFont="1" applyFill="1" applyBorder="1"/>
    <xf numFmtId="0" fontId="38" fillId="38" borderId="23" xfId="0" applyFont="1" applyFill="1" applyBorder="1"/>
    <xf numFmtId="0" fontId="9" fillId="38" borderId="19" xfId="0" applyFont="1" applyFill="1" applyBorder="1"/>
    <xf numFmtId="0" fontId="9" fillId="38" borderId="54" xfId="0" applyFont="1" applyFill="1" applyBorder="1"/>
    <xf numFmtId="0" fontId="0" fillId="38" borderId="39" xfId="0" applyFill="1" applyBorder="1"/>
    <xf numFmtId="164" fontId="7" fillId="0" borderId="0" xfId="0" quotePrefix="1" applyNumberFormat="1" applyFont="1"/>
    <xf numFmtId="0" fontId="7" fillId="38" borderId="19" xfId="0" applyFont="1" applyFill="1" applyBorder="1" applyAlignment="1">
      <alignment wrapText="1"/>
    </xf>
    <xf numFmtId="6" fontId="0" fillId="30" borderId="0" xfId="0" applyNumberFormat="1" applyFill="1" applyAlignment="1">
      <alignment horizontal="center" vertical="center"/>
    </xf>
    <xf numFmtId="6" fontId="0" fillId="38" borderId="0" xfId="0" applyNumberFormat="1" applyFill="1" applyAlignment="1">
      <alignment horizontal="center" vertical="center"/>
    </xf>
    <xf numFmtId="0" fontId="7" fillId="38" borderId="54" xfId="0" applyFont="1" applyFill="1" applyBorder="1"/>
    <xf numFmtId="0" fontId="10" fillId="38" borderId="19" xfId="0" applyFont="1" applyFill="1" applyBorder="1"/>
    <xf numFmtId="0" fontId="10" fillId="38" borderId="21" xfId="0" applyFont="1" applyFill="1" applyBorder="1"/>
    <xf numFmtId="0" fontId="10" fillId="30" borderId="19" xfId="0" applyFont="1" applyFill="1" applyBorder="1"/>
    <xf numFmtId="0" fontId="10" fillId="30" borderId="21" xfId="0" applyFont="1" applyFill="1" applyBorder="1"/>
    <xf numFmtId="0" fontId="10" fillId="34" borderId="19" xfId="0" applyFont="1" applyFill="1" applyBorder="1"/>
    <xf numFmtId="0" fontId="10" fillId="34" borderId="21" xfId="0" applyFont="1" applyFill="1" applyBorder="1"/>
    <xf numFmtId="0" fontId="9" fillId="30" borderId="51" xfId="0" applyFont="1" applyFill="1" applyBorder="1" applyAlignment="1">
      <alignment horizontal="center" vertical="center" wrapText="1"/>
    </xf>
    <xf numFmtId="0" fontId="9" fillId="30" borderId="52" xfId="0" applyFont="1" applyFill="1" applyBorder="1" applyAlignment="1">
      <alignment horizontal="center" vertical="center" wrapText="1"/>
    </xf>
    <xf numFmtId="0" fontId="9" fillId="38" borderId="51" xfId="0" applyFont="1" applyFill="1" applyBorder="1" applyAlignment="1">
      <alignment horizontal="center" vertical="center" wrapText="1"/>
    </xf>
    <xf numFmtId="0" fontId="9" fillId="38" borderId="52" xfId="0" applyFont="1" applyFill="1" applyBorder="1" applyAlignment="1">
      <alignment horizontal="center" vertical="center" wrapText="1"/>
    </xf>
    <xf numFmtId="0" fontId="93" fillId="38" borderId="50" xfId="0" applyFont="1" applyFill="1" applyBorder="1" applyAlignment="1">
      <alignment horizontal="left" vertical="center" wrapText="1"/>
    </xf>
    <xf numFmtId="0" fontId="93" fillId="30" borderId="50" xfId="0" applyFont="1" applyFill="1" applyBorder="1" applyAlignment="1">
      <alignment horizontal="left" vertical="center" wrapText="1"/>
    </xf>
    <xf numFmtId="0" fontId="9" fillId="34" borderId="51" xfId="0" applyFont="1" applyFill="1" applyBorder="1" applyAlignment="1">
      <alignment horizontal="center" vertical="center" wrapText="1"/>
    </xf>
    <xf numFmtId="0" fontId="9" fillId="34" borderId="52" xfId="0" applyFont="1" applyFill="1" applyBorder="1" applyAlignment="1">
      <alignment horizontal="center" vertical="center" wrapText="1"/>
    </xf>
    <xf numFmtId="0" fontId="93" fillId="34" borderId="50" xfId="0" applyFont="1" applyFill="1" applyBorder="1" applyAlignment="1">
      <alignment vertical="center" wrapText="1"/>
    </xf>
    <xf numFmtId="44" fontId="0" fillId="38" borderId="20" xfId="28" applyFont="1" applyFill="1" applyBorder="1"/>
    <xf numFmtId="44" fontId="9" fillId="38" borderId="39" xfId="28" applyFont="1" applyFill="1" applyBorder="1"/>
    <xf numFmtId="44" fontId="9" fillId="38" borderId="20" xfId="28" applyFont="1" applyFill="1" applyBorder="1"/>
    <xf numFmtId="9" fontId="37" fillId="38" borderId="22" xfId="44" applyFont="1" applyFill="1" applyBorder="1"/>
    <xf numFmtId="167" fontId="93" fillId="38" borderId="20" xfId="28" applyNumberFormat="1" applyFont="1" applyFill="1" applyBorder="1" applyAlignment="1">
      <alignment horizontal="left" vertical="center"/>
    </xf>
    <xf numFmtId="0" fontId="7" fillId="38" borderId="24" xfId="0" applyFont="1" applyFill="1" applyBorder="1"/>
    <xf numFmtId="0" fontId="7" fillId="38" borderId="20" xfId="0" applyFont="1" applyFill="1" applyBorder="1"/>
    <xf numFmtId="167" fontId="7" fillId="38" borderId="20" xfId="28" applyNumberFormat="1" applyFont="1" applyFill="1" applyBorder="1"/>
    <xf numFmtId="167" fontId="7" fillId="38" borderId="39" xfId="28" applyNumberFormat="1" applyFont="1" applyFill="1" applyBorder="1"/>
    <xf numFmtId="167" fontId="10" fillId="38" borderId="20" xfId="28" applyNumberFormat="1" applyFont="1" applyFill="1" applyBorder="1"/>
    <xf numFmtId="167" fontId="9" fillId="38" borderId="39" xfId="28" applyNumberFormat="1" applyFont="1" applyFill="1" applyBorder="1"/>
    <xf numFmtId="0" fontId="7" fillId="38" borderId="19" xfId="0" applyFont="1" applyFill="1" applyBorder="1" applyAlignment="1">
      <alignment horizontal="left" wrapText="1"/>
    </xf>
    <xf numFmtId="0" fontId="9" fillId="38" borderId="19" xfId="0" applyFont="1" applyFill="1" applyBorder="1" applyAlignment="1">
      <alignment horizontal="left" vertical="top" wrapText="1"/>
    </xf>
    <xf numFmtId="167" fontId="9" fillId="38" borderId="20" xfId="28" applyNumberFormat="1" applyFont="1" applyFill="1" applyBorder="1" applyAlignment="1">
      <alignment horizontal="left" vertical="center"/>
    </xf>
    <xf numFmtId="9" fontId="7" fillId="38" borderId="22" xfId="44" applyFont="1" applyFill="1" applyBorder="1"/>
    <xf numFmtId="167" fontId="9" fillId="38" borderId="39" xfId="0" applyNumberFormat="1" applyFont="1" applyFill="1" applyBorder="1"/>
    <xf numFmtId="43" fontId="7" fillId="38" borderId="20" xfId="0" applyNumberFormat="1" applyFont="1" applyFill="1" applyBorder="1" applyAlignment="1">
      <alignment horizontal="center"/>
    </xf>
    <xf numFmtId="0" fontId="9" fillId="38" borderId="50" xfId="63" applyFont="1" applyFill="1" applyBorder="1" applyAlignment="1">
      <alignment horizontal="left"/>
    </xf>
    <xf numFmtId="0" fontId="9" fillId="38" borderId="51" xfId="63" applyFont="1" applyFill="1" applyBorder="1"/>
    <xf numFmtId="0" fontId="54" fillId="0" borderId="0" xfId="0" applyFont="1"/>
    <xf numFmtId="0" fontId="54" fillId="0" borderId="23" xfId="0" applyFont="1" applyBorder="1" applyAlignment="1">
      <alignment horizontal="center" vertical="center"/>
    </xf>
    <xf numFmtId="0" fontId="54" fillId="0" borderId="31" xfId="0" applyFont="1" applyBorder="1" applyAlignment="1">
      <alignment horizontal="left" vertical="center"/>
    </xf>
    <xf numFmtId="0" fontId="54" fillId="0" borderId="24" xfId="0" applyFont="1" applyBorder="1" applyAlignment="1">
      <alignment horizontal="center" vertical="center"/>
    </xf>
    <xf numFmtId="164" fontId="45" fillId="0" borderId="21" xfId="28" applyNumberFormat="1" applyFont="1" applyFill="1" applyBorder="1" applyAlignment="1" applyProtection="1">
      <protection locked="0"/>
    </xf>
    <xf numFmtId="44" fontId="45" fillId="0" borderId="32" xfId="28" applyFont="1" applyFill="1" applyBorder="1" applyAlignment="1" applyProtection="1">
      <protection locked="0"/>
    </xf>
    <xf numFmtId="44" fontId="45" fillId="0" borderId="22" xfId="28" applyFont="1" applyFill="1" applyBorder="1" applyAlignment="1" applyProtection="1">
      <protection locked="0"/>
    </xf>
    <xf numFmtId="0" fontId="92" fillId="0" borderId="0" xfId="0" applyFont="1" applyAlignment="1">
      <alignment vertical="center"/>
    </xf>
    <xf numFmtId="167" fontId="45" fillId="0" borderId="0" xfId="28" applyNumberFormat="1" applyFont="1" applyFill="1" applyBorder="1" applyAlignment="1" applyProtection="1">
      <protection locked="0"/>
    </xf>
    <xf numFmtId="0" fontId="94" fillId="0" borderId="33" xfId="0" applyFont="1" applyBorder="1" applyAlignment="1">
      <alignment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95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47" fillId="27" borderId="56" xfId="0" applyFont="1" applyFill="1" applyBorder="1" applyAlignment="1" applyProtection="1">
      <alignment vertical="center"/>
      <protection locked="0"/>
    </xf>
    <xf numFmtId="166" fontId="0" fillId="38" borderId="20" xfId="0" applyNumberFormat="1" applyFill="1" applyBorder="1"/>
    <xf numFmtId="167" fontId="0" fillId="38" borderId="20" xfId="28" applyNumberFormat="1" applyFont="1" applyFill="1" applyBorder="1"/>
    <xf numFmtId="167" fontId="0" fillId="38" borderId="20" xfId="28" applyNumberFormat="1" applyFont="1" applyFill="1" applyBorder="1" applyAlignment="1">
      <alignment vertical="center"/>
    </xf>
    <xf numFmtId="165" fontId="0" fillId="30" borderId="20" xfId="28" applyNumberFormat="1" applyFont="1" applyFill="1" applyBorder="1" applyAlignment="1">
      <alignment horizontal="center" vertical="center"/>
    </xf>
    <xf numFmtId="165" fontId="0" fillId="30" borderId="22" xfId="28" applyNumberFormat="1" applyFont="1" applyFill="1" applyBorder="1" applyAlignment="1">
      <alignment horizontal="center" vertical="center"/>
    </xf>
    <xf numFmtId="0" fontId="42" fillId="27" borderId="55" xfId="0" applyFont="1" applyFill="1" applyBorder="1" applyAlignment="1" applyProtection="1">
      <alignment vertical="center"/>
      <protection locked="0"/>
    </xf>
    <xf numFmtId="0" fontId="9" fillId="0" borderId="55" xfId="63" applyFont="1" applyBorder="1"/>
    <xf numFmtId="44" fontId="0" fillId="29" borderId="20" xfId="28" applyFont="1" applyFill="1" applyBorder="1"/>
    <xf numFmtId="0" fontId="0" fillId="29" borderId="32" xfId="0" applyFill="1" applyBorder="1"/>
    <xf numFmtId="0" fontId="96" fillId="0" borderId="23" xfId="63" applyFont="1" applyBorder="1"/>
    <xf numFmtId="0" fontId="9" fillId="30" borderId="50" xfId="0" applyFont="1" applyFill="1" applyBorder="1" applyAlignment="1">
      <alignment wrapText="1"/>
    </xf>
    <xf numFmtId="0" fontId="9" fillId="45" borderId="50" xfId="63" applyFont="1" applyFill="1" applyBorder="1" applyAlignment="1">
      <alignment horizontal="left" wrapText="1"/>
    </xf>
    <xf numFmtId="0" fontId="9" fillId="45" borderId="51" xfId="63" applyFont="1" applyFill="1" applyBorder="1" applyAlignment="1">
      <alignment horizontal="center"/>
    </xf>
    <xf numFmtId="0" fontId="7" fillId="45" borderId="19" xfId="63" applyFill="1" applyBorder="1" applyAlignment="1">
      <alignment horizontal="left" vertical="center"/>
    </xf>
    <xf numFmtId="0" fontId="7" fillId="45" borderId="21" xfId="63" applyFill="1" applyBorder="1" applyAlignment="1">
      <alignment horizontal="left" vertical="center"/>
    </xf>
    <xf numFmtId="6" fontId="7" fillId="45" borderId="32" xfId="63" applyNumberForma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7" fillId="38" borderId="39" xfId="0" applyFont="1" applyFill="1" applyBorder="1"/>
    <xf numFmtId="6" fontId="7" fillId="38" borderId="0" xfId="63" applyNumberFormat="1" applyFill="1" applyAlignment="1">
      <alignment horizontal="center"/>
    </xf>
    <xf numFmtId="6" fontId="7" fillId="45" borderId="0" xfId="63" applyNumberFormat="1" applyFill="1" applyAlignment="1">
      <alignment horizontal="center" vertical="center"/>
    </xf>
    <xf numFmtId="0" fontId="7" fillId="29" borderId="22" xfId="63" applyFill="1" applyBorder="1"/>
    <xf numFmtId="0" fontId="45" fillId="0" borderId="49" xfId="0" applyFont="1" applyBorder="1"/>
    <xf numFmtId="0" fontId="7" fillId="40" borderId="0" xfId="63" applyFill="1"/>
    <xf numFmtId="0" fontId="36" fillId="0" borderId="0" xfId="63" applyFont="1"/>
    <xf numFmtId="0" fontId="9" fillId="0" borderId="0" xfId="63" applyFont="1" applyAlignment="1">
      <alignment horizontal="center"/>
    </xf>
    <xf numFmtId="0" fontId="34" fillId="0" borderId="0" xfId="63" applyFont="1" applyAlignment="1">
      <alignment horizontal="left"/>
    </xf>
    <xf numFmtId="0" fontId="34" fillId="0" borderId="0" xfId="63" applyFont="1" applyAlignment="1">
      <alignment horizontal="right"/>
    </xf>
    <xf numFmtId="20" fontId="7" fillId="0" borderId="0" xfId="63" quotePrefix="1" applyNumberFormat="1" applyAlignment="1">
      <alignment horizontal="right"/>
    </xf>
    <xf numFmtId="0" fontId="55" fillId="0" borderId="0" xfId="60" applyFont="1" applyAlignment="1">
      <alignment vertical="top"/>
    </xf>
    <xf numFmtId="16" fontId="55" fillId="0" borderId="0" xfId="60" quotePrefix="1" applyNumberFormat="1" applyFont="1" applyAlignment="1">
      <alignment vertical="top"/>
    </xf>
    <xf numFmtId="0" fontId="97" fillId="0" borderId="0" xfId="63" applyFont="1"/>
    <xf numFmtId="0" fontId="48" fillId="0" borderId="0" xfId="0" applyFont="1"/>
    <xf numFmtId="0" fontId="54" fillId="0" borderId="0" xfId="0" applyFont="1" applyAlignment="1">
      <alignment horizontal="center" vertical="center"/>
    </xf>
    <xf numFmtId="6" fontId="0" fillId="0" borderId="0" xfId="0" applyNumberFormat="1" applyAlignment="1">
      <alignment horizontal="left" vertical="top"/>
    </xf>
    <xf numFmtId="0" fontId="9" fillId="0" borderId="0" xfId="0" applyFont="1" applyAlignment="1">
      <alignment horizontal="left" wrapText="1"/>
    </xf>
    <xf numFmtId="164" fontId="9" fillId="30" borderId="31" xfId="28" applyNumberFormat="1" applyFont="1" applyFill="1" applyBorder="1" applyAlignment="1">
      <alignment horizontal="center" vertical="center"/>
    </xf>
    <xf numFmtId="164" fontId="0" fillId="30" borderId="31" xfId="28" applyNumberFormat="1" applyFont="1" applyFill="1" applyBorder="1" applyAlignment="1">
      <alignment horizontal="center" vertical="center"/>
    </xf>
    <xf numFmtId="164" fontId="0" fillId="30" borderId="0" xfId="28" applyNumberFormat="1" applyFont="1" applyFill="1" applyBorder="1" applyAlignment="1">
      <alignment horizontal="center" vertical="center"/>
    </xf>
    <xf numFmtId="164" fontId="0" fillId="30" borderId="32" xfId="28" applyNumberFormat="1" applyFont="1" applyFill="1" applyBorder="1" applyAlignment="1">
      <alignment horizontal="center" vertical="center"/>
    </xf>
    <xf numFmtId="0" fontId="7" fillId="29" borderId="19" xfId="63" applyFill="1" applyBorder="1"/>
    <xf numFmtId="0" fontId="45" fillId="29" borderId="19" xfId="0" applyFont="1" applyFill="1" applyBorder="1"/>
    <xf numFmtId="0" fontId="48" fillId="29" borderId="0" xfId="63" applyFont="1" applyFill="1"/>
    <xf numFmtId="0" fontId="48" fillId="29" borderId="19" xfId="63" applyFont="1" applyFill="1" applyBorder="1"/>
    <xf numFmtId="0" fontId="34" fillId="29" borderId="19" xfId="63" applyFont="1" applyFill="1" applyBorder="1" applyAlignment="1">
      <alignment horizontal="right"/>
    </xf>
    <xf numFmtId="0" fontId="34" fillId="29" borderId="0" xfId="63" applyFont="1" applyFill="1" applyAlignment="1">
      <alignment horizontal="left"/>
    </xf>
    <xf numFmtId="0" fontId="0" fillId="29" borderId="19" xfId="0" applyFill="1" applyBorder="1"/>
    <xf numFmtId="0" fontId="45" fillId="29" borderId="19" xfId="63" applyFont="1" applyFill="1" applyBorder="1"/>
    <xf numFmtId="8" fontId="7" fillId="29" borderId="19" xfId="63" applyNumberFormat="1" applyFill="1" applyBorder="1"/>
    <xf numFmtId="0" fontId="7" fillId="29" borderId="32" xfId="63" applyFill="1" applyBorder="1"/>
    <xf numFmtId="0" fontId="10" fillId="29" borderId="21" xfId="0" applyFont="1" applyFill="1" applyBorder="1"/>
    <xf numFmtId="0" fontId="7" fillId="29" borderId="31" xfId="63" applyFill="1" applyBorder="1"/>
    <xf numFmtId="0" fontId="45" fillId="29" borderId="0" xfId="63" applyFont="1" applyFill="1"/>
    <xf numFmtId="0" fontId="7" fillId="29" borderId="23" xfId="63" applyFill="1" applyBorder="1"/>
    <xf numFmtId="6" fontId="0" fillId="29" borderId="0" xfId="0" applyNumberFormat="1" applyFill="1" applyAlignment="1">
      <alignment horizontal="center" vertical="center"/>
    </xf>
    <xf numFmtId="44" fontId="0" fillId="29" borderId="0" xfId="28" applyFont="1" applyFill="1" applyBorder="1"/>
    <xf numFmtId="0" fontId="7" fillId="38" borderId="19" xfId="0" applyFont="1" applyFill="1" applyBorder="1" applyAlignment="1">
      <alignment horizontal="left" vertical="center"/>
    </xf>
    <xf numFmtId="167" fontId="7" fillId="38" borderId="20" xfId="0" applyNumberFormat="1" applyFont="1" applyFill="1" applyBorder="1" applyAlignment="1">
      <alignment vertical="center"/>
    </xf>
    <xf numFmtId="0" fontId="9" fillId="34" borderId="23" xfId="0" applyFont="1" applyFill="1" applyBorder="1" applyAlignment="1">
      <alignment wrapText="1"/>
    </xf>
    <xf numFmtId="0" fontId="7" fillId="0" borderId="11" xfId="0" applyFont="1" applyBorder="1" applyAlignment="1">
      <alignment horizontal="center" vertical="center"/>
    </xf>
    <xf numFmtId="0" fontId="7" fillId="0" borderId="0" xfId="0" quotePrefix="1" applyFont="1" applyAlignment="1">
      <alignment horizontal="left" wrapText="1"/>
    </xf>
    <xf numFmtId="0" fontId="9" fillId="0" borderId="12" xfId="63" applyFont="1" applyBorder="1" applyAlignment="1">
      <alignment horizontal="right"/>
    </xf>
    <xf numFmtId="165" fontId="10" fillId="0" borderId="19" xfId="0" applyNumberFormat="1" applyFont="1" applyBorder="1" applyAlignment="1">
      <alignment horizontal="left" vertical="top" wrapText="1"/>
    </xf>
    <xf numFmtId="165" fontId="10" fillId="0" borderId="0" xfId="0" applyNumberFormat="1" applyFont="1" applyAlignment="1">
      <alignment horizontal="left" vertical="top" wrapText="1"/>
    </xf>
    <xf numFmtId="0" fontId="7" fillId="38" borderId="0" xfId="63" applyFill="1" applyAlignment="1">
      <alignment horizontal="center"/>
    </xf>
    <xf numFmtId="44" fontId="0" fillId="0" borderId="11" xfId="66" applyFont="1" applyFill="1" applyBorder="1"/>
  </cellXfs>
  <cellStyles count="6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67" builtinId="3"/>
    <cellStyle name="Comma 2" xfId="57" xr:uid="{00000000-0005-0000-0000-00001B000000}"/>
    <cellStyle name="Comma 3" xfId="61" xr:uid="{00000000-0005-0000-0000-00001C000000}"/>
    <cellStyle name="Currency" xfId="28" builtinId="4"/>
    <cellStyle name="Currency 2" xfId="52" xr:uid="{00000000-0005-0000-0000-00001E000000}"/>
    <cellStyle name="Currency 2 2" xfId="56" xr:uid="{00000000-0005-0000-0000-00001F000000}"/>
    <cellStyle name="Currency 2 3" xfId="64" xr:uid="{54B92CF2-DC33-F549-A2EC-046BD2B2D406}"/>
    <cellStyle name="Currency 3" xfId="54" xr:uid="{00000000-0005-0000-0000-000020000000}"/>
    <cellStyle name="Currency 4" xfId="59" xr:uid="{00000000-0005-0000-0000-000021000000}"/>
    <cellStyle name="Currency 5" xfId="66" xr:uid="{77741308-79E3-DF4D-B987-554A22D72CB3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5" xr:uid="{00000000-0005-0000-0000-00002D000000}"/>
    <cellStyle name="Normal 2 2" xfId="55" xr:uid="{00000000-0005-0000-0000-00002E000000}"/>
    <cellStyle name="Normal 2 3" xfId="63" xr:uid="{073E5740-0F4E-1143-952E-49B4E3561A97}"/>
    <cellStyle name="Normal 3" xfId="47" xr:uid="{00000000-0005-0000-0000-00002F000000}"/>
    <cellStyle name="Normal 4" xfId="49" xr:uid="{00000000-0005-0000-0000-000030000000}"/>
    <cellStyle name="Normal 5" xfId="51" xr:uid="{00000000-0005-0000-0000-000031000000}"/>
    <cellStyle name="Normal 6" xfId="53" xr:uid="{00000000-0005-0000-0000-000032000000}"/>
    <cellStyle name="Normal 7" xfId="58" xr:uid="{00000000-0005-0000-0000-000033000000}"/>
    <cellStyle name="Normal 8" xfId="60" xr:uid="{00000000-0005-0000-0000-000034000000}"/>
    <cellStyle name="Normal 9" xfId="62" xr:uid="{134BEEEC-DE54-2148-8802-28946ED0A017}"/>
    <cellStyle name="Note" xfId="39" builtinId="10" customBuiltin="1"/>
    <cellStyle name="Output" xfId="40" builtinId="21" customBuiltin="1"/>
    <cellStyle name="Percent" xfId="44" builtinId="5"/>
    <cellStyle name="Percent 2" xfId="46" xr:uid="{00000000-0005-0000-0000-000039000000}"/>
    <cellStyle name="Percent 2 2" xfId="65" xr:uid="{08534AB9-3840-3F45-877E-12B738DBD5D2}"/>
    <cellStyle name="Percent 3" xfId="48" xr:uid="{00000000-0005-0000-0000-00003A000000}"/>
    <cellStyle name="Percent 4" xfId="50" xr:uid="{00000000-0005-0000-0000-00003B000000}"/>
    <cellStyle name="Title" xfId="41" builtinId="15" customBuiltin="1"/>
    <cellStyle name="Total" xfId="42" builtinId="25" customBuiltin="1"/>
    <cellStyle name="Warning Text" xfId="43" builtinId="11" customBuiltin="1"/>
  </cellStyles>
  <dxfs count="6"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BE5F1"/>
      <color rgb="FFE9EDF1"/>
      <color rgb="FFFF66CC"/>
      <color rgb="FFFF99CC"/>
      <color rgb="FFFF66FF"/>
      <color rgb="FF5F7530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 Star</a:t>
            </a:r>
            <a:endParaRPr lang="en-US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'Fed CACFP'!$C$22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'Fed CACFP'!$A$58:$A$61</c:f>
              <c:numCache>
                <c:formatCode>General</c:formatCode>
                <c:ptCount val="4"/>
              </c:numCache>
            </c:numRef>
          </c:cat>
          <c:val>
            <c:numRef>
              <c:f>'Fed CACFP'!$C$58:$C$61</c:f>
              <c:numCache>
                <c:formatCode>"$"#,##0_);[Red]\("$"#,##0\)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EB7-B342-AA79-DF928C857F7F}"/>
            </c:ext>
          </c:extLst>
        </c:ser>
        <c:ser>
          <c:idx val="2"/>
          <c:order val="2"/>
          <c:tx>
            <c:strRef>
              <c:f>'Fed CACFP'!$D$22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'Fed CACFP'!$A$58:$A$61</c:f>
              <c:numCache>
                <c:formatCode>General</c:formatCode>
                <c:ptCount val="4"/>
              </c:numCache>
            </c:numRef>
          </c:cat>
          <c:val>
            <c:numRef>
              <c:f>'Fed CACFP'!$D$58:$D$61</c:f>
              <c:numCache>
                <c:formatCode>"$"#,##0_);[Red]\("$"#,##0\)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EB7-B342-AA79-DF928C857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overlap val="100"/>
        <c:axId val="1341280512"/>
        <c:axId val="1341282160"/>
      </c:barChart>
      <c:lineChart>
        <c:grouping val="standard"/>
        <c:varyColors val="0"/>
        <c:ser>
          <c:idx val="0"/>
          <c:order val="0"/>
          <c:tx>
            <c:strRef>
              <c:f>'Fed CACFP'!$B$22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3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1094517866760082E-2"/>
                  <c:y val="-4.1415924586058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B7-B342-AA79-DF928C857F7F}"/>
                </c:ext>
              </c:extLst>
            </c:dLbl>
            <c:dLbl>
              <c:idx val="1"/>
              <c:layout>
                <c:manualLayout>
                  <c:x val="1.1094517866760082E-2"/>
                  <c:y val="-5.5221232781410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B7-B342-AA79-DF928C857F7F}"/>
                </c:ext>
              </c:extLst>
            </c:dLbl>
            <c:dLbl>
              <c:idx val="2"/>
              <c:layout>
                <c:manualLayout>
                  <c:x val="0"/>
                  <c:y val="-5.5221232781410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B7-B342-AA79-DF928C857F7F}"/>
                </c:ext>
              </c:extLst>
            </c:dLbl>
            <c:dLbl>
              <c:idx val="3"/>
              <c:layout>
                <c:manualLayout>
                  <c:x val="0"/>
                  <c:y val="-7.3628310375214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B7-B342-AA79-DF928C857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'Fed CACFP'!$A$58:$A$61</c:f>
              <c:numCache>
                <c:formatCode>General</c:formatCode>
                <c:ptCount val="4"/>
              </c:numCache>
            </c:numRef>
          </c:cat>
          <c:val>
            <c:numRef>
              <c:f>'Fed CACFP'!$B$58:$B$61</c:f>
              <c:numCache>
                <c:formatCode>_("$"* #,##0_);_("$"* \(#,##0\);_("$"* "-"??_);_(@_)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B7-B342-AA79-DF928C857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280512"/>
        <c:axId val="1341282160"/>
      </c:lineChart>
      <c:catAx>
        <c:axId val="134128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282160"/>
        <c:crosses val="autoZero"/>
        <c:auto val="1"/>
        <c:lblAlgn val="ctr"/>
        <c:lblOffset val="100"/>
        <c:noMultiLvlLbl val="0"/>
      </c:catAx>
      <c:valAx>
        <c:axId val="134128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28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74</xdr:row>
      <xdr:rowOff>85968</xdr:rowOff>
    </xdr:from>
    <xdr:to>
      <xdr:col>12</xdr:col>
      <xdr:colOff>572476</xdr:colOff>
      <xdr:row>91</xdr:row>
      <xdr:rowOff>22469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68A2A65-E16E-B147-B2E5-E7AFE2FA5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9cb6bf57e6c3811/North%20Carolina%20PCI/NC-Center%20based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9cb6bf57e6c3811/New%20Mexico/North%20Carolina%20PCI/NC-Center%20based%20mode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Delaware/DE%20FCC%20Home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INPUT-CTR"/>
      <sheetName val="Quality Center Profile"/>
      <sheetName val="Ratios"/>
      <sheetName val="Wages"/>
      <sheetName val="Wages BLS"/>
      <sheetName val="Nonpersonnel Aggregated"/>
      <sheetName val="Nonpersonnel disaggregated"/>
      <sheetName val="Tuition Rates"/>
      <sheetName val="Subsidy rates"/>
      <sheetName val="PreK"/>
      <sheetName val="Fed CACFP"/>
      <sheetName val="County Subsidy rates"/>
    </sheetNames>
    <sheetDataSet>
      <sheetData sheetId="0">
        <row r="1">
          <cell r="G1" t="str">
            <v>Star1</v>
          </cell>
        </row>
        <row r="2">
          <cell r="G2" t="str">
            <v>Urban</v>
          </cell>
        </row>
        <row r="14">
          <cell r="E14">
            <v>0.85</v>
          </cell>
        </row>
        <row r="15">
          <cell r="E15">
            <v>0.03</v>
          </cell>
        </row>
        <row r="18">
          <cell r="D18" t="str">
            <v>No</v>
          </cell>
        </row>
        <row r="19">
          <cell r="D19" t="str">
            <v>No</v>
          </cell>
        </row>
        <row r="20">
          <cell r="D20" t="str">
            <v>No</v>
          </cell>
        </row>
        <row r="21">
          <cell r="D21" t="str">
            <v>No</v>
          </cell>
        </row>
        <row r="23">
          <cell r="D23">
            <v>16</v>
          </cell>
        </row>
        <row r="25">
          <cell r="D25" t="str">
            <v>Yes</v>
          </cell>
        </row>
        <row r="26">
          <cell r="D26">
            <v>10</v>
          </cell>
        </row>
        <row r="27">
          <cell r="D27">
            <v>10</v>
          </cell>
        </row>
      </sheetData>
      <sheetData sheetId="1">
        <row r="7">
          <cell r="A7">
            <v>10</v>
          </cell>
          <cell r="F7">
            <v>1</v>
          </cell>
        </row>
        <row r="8">
          <cell r="A8">
            <v>12</v>
          </cell>
          <cell r="F8">
            <v>1</v>
          </cell>
        </row>
        <row r="9">
          <cell r="A9">
            <v>20</v>
          </cell>
          <cell r="F9">
            <v>1</v>
          </cell>
        </row>
        <row r="10">
          <cell r="A10">
            <v>25</v>
          </cell>
          <cell r="F10">
            <v>1</v>
          </cell>
        </row>
        <row r="11">
          <cell r="A11">
            <v>25</v>
          </cell>
          <cell r="F11">
            <v>1</v>
          </cell>
        </row>
        <row r="12">
          <cell r="A12">
            <v>92</v>
          </cell>
          <cell r="F12">
            <v>5</v>
          </cell>
        </row>
        <row r="21">
          <cell r="D21">
            <v>69888.600000000006</v>
          </cell>
        </row>
        <row r="23">
          <cell r="D23">
            <v>130010</v>
          </cell>
        </row>
        <row r="24">
          <cell r="D24">
            <v>117095</v>
          </cell>
        </row>
        <row r="25">
          <cell r="D25">
            <v>41998.073333333334</v>
          </cell>
        </row>
        <row r="32">
          <cell r="D32">
            <v>15048.293333333333</v>
          </cell>
        </row>
        <row r="40">
          <cell r="D40">
            <v>37245.873050000002</v>
          </cell>
        </row>
        <row r="42">
          <cell r="C42">
            <v>4000</v>
          </cell>
          <cell r="D42">
            <v>57173.333333333328</v>
          </cell>
        </row>
        <row r="43">
          <cell r="D43">
            <v>468459.17304999998</v>
          </cell>
        </row>
        <row r="46">
          <cell r="D46">
            <v>127622.63291139241</v>
          </cell>
        </row>
        <row r="47">
          <cell r="D47">
            <v>47986.256708860754</v>
          </cell>
        </row>
        <row r="48">
          <cell r="D48">
            <v>108306.12658227848</v>
          </cell>
        </row>
        <row r="49">
          <cell r="D49">
            <v>283915.01620253164</v>
          </cell>
        </row>
        <row r="51">
          <cell r="D51">
            <v>22571.225677575949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INPUT-CTR"/>
      <sheetName val="Quality Center Profile"/>
      <sheetName val="Ratios"/>
      <sheetName val="Wages"/>
      <sheetName val="Wages BLS"/>
      <sheetName val="Nonpersonnel Aggregated"/>
      <sheetName val="Nonpersonnel from interviews"/>
      <sheetName val="Tuition Rates"/>
      <sheetName val="Subsidy rates"/>
      <sheetName val="PreK"/>
      <sheetName val="Fed CACFP"/>
      <sheetName val="County Subsidy rates"/>
    </sheetNames>
    <sheetDataSet>
      <sheetData sheetId="0">
        <row r="1">
          <cell r="F1" t="str">
            <v>Star1</v>
          </cell>
        </row>
      </sheetData>
      <sheetData sheetId="1">
        <row r="7">
          <cell r="A7">
            <v>10</v>
          </cell>
          <cell r="F7">
            <v>1</v>
          </cell>
        </row>
        <row r="8">
          <cell r="A8">
            <v>12</v>
          </cell>
          <cell r="F8">
            <v>1</v>
          </cell>
        </row>
        <row r="12">
          <cell r="A12">
            <v>92</v>
          </cell>
          <cell r="F12">
            <v>5</v>
          </cell>
        </row>
        <row r="21">
          <cell r="D21">
            <v>169388.62712880364</v>
          </cell>
        </row>
        <row r="23">
          <cell r="D23">
            <v>232450</v>
          </cell>
        </row>
        <row r="24">
          <cell r="D24">
            <v>202067.00398434472</v>
          </cell>
        </row>
        <row r="25">
          <cell r="D25">
            <v>72474.698762384971</v>
          </cell>
        </row>
        <row r="32">
          <cell r="D32">
            <v>15048.293333333333</v>
          </cell>
        </row>
        <row r="40">
          <cell r="D40">
            <v>67943.878406322299</v>
          </cell>
        </row>
        <row r="42">
          <cell r="D42">
            <v>0</v>
          </cell>
        </row>
        <row r="46">
          <cell r="D46">
            <v>127622.63291139241</v>
          </cell>
        </row>
        <row r="47">
          <cell r="D47">
            <v>57583.50805063291</v>
          </cell>
        </row>
        <row r="48">
          <cell r="D48">
            <v>108306.12658227848</v>
          </cell>
        </row>
        <row r="49">
          <cell r="D49">
            <v>293512.26754430379</v>
          </cell>
        </row>
        <row r="51">
          <cell r="D51">
            <v>31586.543074784782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>
        <row r="113">
          <cell r="C113">
            <v>498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INPUT-FCC"/>
      <sheetName val="Quality Home Profile"/>
      <sheetName val="License-Exempt profile"/>
      <sheetName val="QualVar"/>
      <sheetName val="Nonpersonnel PCQC"/>
      <sheetName val="Wages"/>
      <sheetName val="Subsidy Rates"/>
      <sheetName val="Tuition Rates"/>
      <sheetName val="Fed CACFP"/>
    </sheetNames>
    <sheetDataSet>
      <sheetData sheetId="0"/>
      <sheetData sheetId="1">
        <row r="50">
          <cell r="D50">
            <v>0</v>
          </cell>
        </row>
        <row r="59">
          <cell r="D59">
            <v>4349.3061883928567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imon Workman" id="{B4DB8974-BCDB-AD4F-B7A0-A72F4B0538DA}" userId="Simon Workman" providerId="None"/>
  <person displayName="Jeanna Capito [P5FS]" id="{04F19AB9-8EA6-2C47-9AC3-EC85ED8F3F6C}" userId="Jeanna@prenatal5fiscal.org" providerId="PeoplePicker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4" dT="2023-05-03T23:15:58.28" personId="{B4DB8974-BCDB-AD4F-B7A0-A72F4B0538DA}" id="{E08F0D3F-638A-AD42-8C05-016FFA33B127}">
    <text>@Jeanna Capito [P5FS] this has the COLA zero’d out. What should it be for this version of the public model?</text>
    <mentions>
      <mention mentionpersonId="{04F19AB9-8EA6-2C47-9AC3-EC85ED8F3F6C}" mentionId="{C0C5A52E-C483-9B47-BFC6-6675E7595E72}" startIndex="0" length="21"/>
    </mentions>
  </threadedComment>
  <threadedComment ref="B14" dT="2023-05-03T23:19:58.17" personId="{B4DB8974-BCDB-AD4F-B7A0-A72F4B0538DA}" id="{6D4338A6-51F2-6B46-AD0D-BD1899F7856D}" parentId="{E08F0D3F-638A-AD42-8C05-016FFA33B127}">
    <text>Note, FCC has 4.8%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52" dT="2021-10-27T19:01:56.50" personId="{B4DB8974-BCDB-AD4F-B7A0-A72F4B0538DA}" id="{09268A5D-75AF-9245-B49C-8446D7A35E87}">
    <text>it is used if you pick licensing/star 2 as quality level… for 12.10 it didnt matter because there was still a spread between 12.10 and data colletion salaries. but it is a problem for the $15 and $18 model</text>
  </threadedComment>
  <threadedComment ref="B52" dT="2021-10-27T19:03:51.98" personId="{B4DB8974-BCDB-AD4F-B7A0-A72F4B0538DA}" id="{7BE4F35E-7D38-2543-A3D2-97BF455823F6}" parentId="{09268A5D-75AF-9245-B49C-8446D7A35E87}">
    <text xml:space="preserve">my solution is to pay same at licensing/2 star and 2+/3 star. the alternative is to set the licensing as the min wage, and go up from there, but that will get our 5 star programs pretty high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www.bls.gov/oes/2020/may/oes_nm.htm" TargetMode="External"/><Relationship Id="rId4" Type="http://schemas.microsoft.com/office/2017/10/relationships/threadedComment" Target="../threadedComments/threadedComment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newmexicokids.org/wp-content/uploads/2018-MRS-Report_June18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newmexicoprek.org/wp-content/uploads/2020/04/PreK-Program-Rate-Schedule.REVISED.4.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</sheetPr>
  <dimension ref="A1:AJ360"/>
  <sheetViews>
    <sheetView zoomScale="140" zoomScaleNormal="140" workbookViewId="0">
      <selection activeCell="F45" sqref="F45"/>
    </sheetView>
  </sheetViews>
  <sheetFormatPr baseColWidth="10" defaultColWidth="8.83203125" defaultRowHeight="13"/>
  <cols>
    <col min="1" max="1" width="3.1640625" style="450" customWidth="1"/>
    <col min="2" max="2" width="22.33203125" customWidth="1"/>
    <col min="3" max="3" width="19.83203125" customWidth="1"/>
    <col min="4" max="4" width="19.33203125" customWidth="1"/>
    <col min="5" max="5" width="20.5" customWidth="1"/>
    <col min="6" max="6" width="19" customWidth="1"/>
    <col min="7" max="7" width="20.83203125" customWidth="1"/>
    <col min="8" max="8" width="22.33203125" customWidth="1"/>
    <col min="9" max="9" width="14" style="450" customWidth="1"/>
    <col min="10" max="10" width="14.5" style="450" customWidth="1"/>
    <col min="11" max="11" width="16.83203125" style="450" customWidth="1"/>
    <col min="12" max="12" width="11" style="450" customWidth="1"/>
    <col min="13" max="13" width="11.1640625" style="450" customWidth="1"/>
    <col min="14" max="36" width="8.83203125" style="450"/>
  </cols>
  <sheetData>
    <row r="1" spans="1:14" s="450" customFormat="1" ht="14" thickBot="1"/>
    <row r="2" spans="1:14" ht="18" customHeight="1">
      <c r="A2" s="529"/>
      <c r="B2" s="472" t="s">
        <v>452</v>
      </c>
      <c r="C2" s="420"/>
      <c r="D2" s="420"/>
      <c r="E2" s="420"/>
      <c r="F2" s="505" t="s">
        <v>453</v>
      </c>
      <c r="G2" s="592" t="s">
        <v>2</v>
      </c>
      <c r="H2" s="473"/>
      <c r="I2" s="449" t="s">
        <v>2</v>
      </c>
      <c r="J2" s="449" t="s">
        <v>1</v>
      </c>
      <c r="K2" s="449" t="s">
        <v>3</v>
      </c>
      <c r="L2" s="449" t="s">
        <v>4</v>
      </c>
      <c r="M2" s="449"/>
      <c r="N2" s="449"/>
    </row>
    <row r="3" spans="1:14" ht="22" customHeight="1">
      <c r="A3" s="529"/>
      <c r="B3" s="474" t="s">
        <v>5</v>
      </c>
      <c r="F3" s="579" t="s">
        <v>6</v>
      </c>
      <c r="G3" s="591" t="s">
        <v>7</v>
      </c>
      <c r="H3" s="423"/>
      <c r="I3" s="449" t="s">
        <v>7</v>
      </c>
      <c r="J3" s="449"/>
      <c r="K3" s="449"/>
      <c r="L3" s="449"/>
      <c r="M3" s="449"/>
      <c r="N3" s="449"/>
    </row>
    <row r="4" spans="1:14" ht="8" customHeight="1">
      <c r="A4" s="529"/>
      <c r="B4" s="2"/>
      <c r="F4" s="29"/>
      <c r="G4" s="29"/>
      <c r="H4" s="423"/>
      <c r="I4" s="451"/>
      <c r="J4" s="451"/>
      <c r="K4" s="451"/>
      <c r="L4" s="451"/>
      <c r="M4" s="451"/>
    </row>
    <row r="5" spans="1:14" ht="14">
      <c r="A5" s="529"/>
      <c r="B5" s="475" t="s">
        <v>451</v>
      </c>
      <c r="C5" s="476"/>
      <c r="D5" s="476"/>
      <c r="E5" s="476"/>
      <c r="F5" s="476"/>
      <c r="G5" s="476"/>
      <c r="H5" s="477"/>
      <c r="I5" s="452"/>
      <c r="J5" s="452"/>
    </row>
    <row r="6" spans="1:14">
      <c r="A6" s="529"/>
      <c r="H6" s="423"/>
      <c r="I6" s="453"/>
      <c r="K6" s="454"/>
      <c r="L6" s="453"/>
      <c r="M6" s="455"/>
    </row>
    <row r="7" spans="1:14">
      <c r="A7" s="529"/>
      <c r="B7" s="23" t="s">
        <v>8</v>
      </c>
      <c r="C7" s="478" t="s">
        <v>9</v>
      </c>
      <c r="D7" s="479" t="s">
        <v>10</v>
      </c>
      <c r="E7" s="479" t="s">
        <v>0</v>
      </c>
      <c r="F7" s="480" t="s">
        <v>11</v>
      </c>
      <c r="G7" s="481" t="s">
        <v>12</v>
      </c>
      <c r="H7" s="482"/>
      <c r="I7" s="453"/>
      <c r="L7" s="453"/>
    </row>
    <row r="8" spans="1:14" ht="12.75" customHeight="1">
      <c r="A8" s="529"/>
      <c r="B8" s="10"/>
      <c r="C8" s="483">
        <f>G8*F8</f>
        <v>12</v>
      </c>
      <c r="D8" s="484" t="s">
        <v>13</v>
      </c>
      <c r="E8" s="480">
        <f>IF($G$2="Licensing/Star 2",Ratios!B3,IF($G$2="Star 2+/3",Ratios!C3,IF($G$2="Star 4",Ratios!D3,IF($G$2="Star 5",Ratios!E3,))))</f>
        <v>6</v>
      </c>
      <c r="F8" s="480">
        <f>IF($G$2="Licensing/Star 2",Ratios!B10,IF($G$2="Star 2+/3",Ratios!C10,IF($G$2="Star 4",Ratios!D10,IF($G$2="Star 5",Ratios!E10,))))</f>
        <v>12</v>
      </c>
      <c r="G8" s="88">
        <v>1</v>
      </c>
      <c r="H8" s="423"/>
      <c r="I8" s="456"/>
      <c r="J8" s="456"/>
      <c r="L8" s="457"/>
      <c r="M8" s="458"/>
    </row>
    <row r="9" spans="1:14" ht="12.75" customHeight="1">
      <c r="A9" s="529"/>
      <c r="B9" s="10"/>
      <c r="C9" s="483">
        <f t="shared" ref="C9:C12" si="0">G9*F9</f>
        <v>20</v>
      </c>
      <c r="D9" s="484" t="s">
        <v>14</v>
      </c>
      <c r="E9" s="480">
        <f>IF($G$2="Licensing/Star 2",Ratios!B4,IF($G$2="Star 2+/3",Ratios!C4,IF($G$2="Star 4",Ratios!D4,IF($G$2="Star 5",Ratios!E4,))))</f>
        <v>10</v>
      </c>
      <c r="F9" s="480">
        <f>IF($G$2="Licensing/Star 2",Ratios!B11,IF($G$2="Star 2+/3",Ratios!C11,IF($G$2="Star 4",Ratios!D11,IF($G$2="Star 5",Ratios!E11,))))</f>
        <v>20</v>
      </c>
      <c r="G9" s="89">
        <v>1</v>
      </c>
      <c r="H9" s="423"/>
      <c r="I9" s="456"/>
      <c r="J9" s="456"/>
      <c r="L9" s="457"/>
      <c r="M9" s="458"/>
    </row>
    <row r="10" spans="1:14" ht="12.75" customHeight="1">
      <c r="A10" s="529"/>
      <c r="B10" s="34"/>
      <c r="C10" s="483">
        <f t="shared" si="0"/>
        <v>24</v>
      </c>
      <c r="D10" s="484" t="s">
        <v>15</v>
      </c>
      <c r="E10" s="480">
        <f>IF($G$2="Licensing/Star 2",Ratios!B5,IF($G$2="Star 2+/3",Ratios!C5,IF($G$2="Star 4",Ratios!D5,IF($G$2="Star 5",Ratios!E5,))))</f>
        <v>12</v>
      </c>
      <c r="F10" s="480" cm="1">
        <f t="array" ref="F10">IF($G$2="Licensing/Star 2",Ratios!B12,IF($G$2="Star 2+/3",Ratios!C12,IF($G$2="Star 4",Ratios!D12,IF($G$2="Star 5",Ratios!E12,I))))</f>
        <v>24</v>
      </c>
      <c r="G10" s="89">
        <v>1</v>
      </c>
      <c r="H10" s="423"/>
      <c r="I10" s="456"/>
      <c r="J10" s="456"/>
      <c r="L10" s="457"/>
      <c r="M10" s="458"/>
    </row>
    <row r="11" spans="1:14" ht="12.75" customHeight="1">
      <c r="A11" s="529"/>
      <c r="C11" s="483">
        <f t="shared" si="0"/>
        <v>24</v>
      </c>
      <c r="D11" s="484" t="s">
        <v>16</v>
      </c>
      <c r="E11" s="480">
        <f>IF($G$2="Licensing/Star 2",Ratios!B6,IF($G$2="Star 2+/3",Ratios!C6,IF($G$2="Star 4",Ratios!D6,IF($G$2="Star 5",Ratios!E6,))))</f>
        <v>12</v>
      </c>
      <c r="F11" s="480">
        <f>IF($G$2="Licensing/Star 2",Ratios!B13,IF($G$2="Star 2+/3",Ratios!C13,IF($G$2="Star 4",Ratios!D13,IF($G$2="Star 5",Ratios!E13,))))</f>
        <v>24</v>
      </c>
      <c r="G11" s="89">
        <v>1</v>
      </c>
      <c r="H11" s="423"/>
      <c r="J11" s="459"/>
    </row>
    <row r="12" spans="1:14" ht="12.75" customHeight="1">
      <c r="A12" s="529"/>
      <c r="C12" s="483">
        <f t="shared" si="0"/>
        <v>30</v>
      </c>
      <c r="D12" s="484" t="s">
        <v>17</v>
      </c>
      <c r="E12" s="480">
        <f>IF($G$2="Licensing/Star 2",Ratios!B7,IF($G$2="Star 2+/3",Ratios!C7,IF($G$2="Star 4",Ratios!D7,IF($G$2="Star 5",Ratios!E7,))))</f>
        <v>15</v>
      </c>
      <c r="F12" s="480">
        <f>IF($G$2="Licensing/Star 2",Ratios!B14,IF($G$2="Star 2+/3",Ratios!C14,IF($G$2="Star 4",Ratios!D14,IF($G$2="Star 5",Ratios!E14,))))</f>
        <v>30</v>
      </c>
      <c r="G12" s="89">
        <v>1</v>
      </c>
      <c r="H12" s="423"/>
      <c r="J12" s="459"/>
    </row>
    <row r="13" spans="1:14" ht="12.75" customHeight="1">
      <c r="A13" s="529"/>
      <c r="B13" s="21" t="s">
        <v>18</v>
      </c>
      <c r="C13" s="478">
        <f>SUM(C8:C12)</f>
        <v>110</v>
      </c>
      <c r="G13" s="2">
        <f>SUM(G8:G12)</f>
        <v>5</v>
      </c>
      <c r="H13" s="485" t="s">
        <v>19</v>
      </c>
      <c r="J13" s="459"/>
    </row>
    <row r="14" spans="1:14" ht="12.75" customHeight="1">
      <c r="A14" s="529"/>
      <c r="B14" s="21"/>
      <c r="C14" s="478"/>
      <c r="G14" s="2"/>
      <c r="H14" s="485"/>
      <c r="J14" s="459"/>
    </row>
    <row r="15" spans="1:14" ht="12.75" hidden="1" customHeight="1">
      <c r="A15" s="529"/>
      <c r="B15" s="23" t="s">
        <v>20</v>
      </c>
      <c r="C15" s="478"/>
      <c r="E15" s="2"/>
      <c r="G15" s="2"/>
      <c r="H15" s="485"/>
      <c r="J15" s="459"/>
    </row>
    <row r="16" spans="1:14" ht="17" hidden="1" customHeight="1">
      <c r="A16" s="529"/>
      <c r="B16" s="32" t="s">
        <v>21</v>
      </c>
      <c r="C16" s="440" t="s">
        <v>22</v>
      </c>
      <c r="E16" s="486" t="s">
        <v>23</v>
      </c>
      <c r="F16" s="486" t="s">
        <v>22</v>
      </c>
      <c r="G16" s="487"/>
      <c r="H16" s="488"/>
      <c r="J16" s="459"/>
    </row>
    <row r="17" spans="1:15" ht="16" hidden="1" customHeight="1">
      <c r="A17" s="529"/>
      <c r="B17" s="32" t="s">
        <v>24</v>
      </c>
      <c r="C17" s="441" t="s">
        <v>27</v>
      </c>
      <c r="E17" s="486" t="s">
        <v>26</v>
      </c>
      <c r="F17" s="486" t="s">
        <v>25</v>
      </c>
      <c r="G17" s="486" t="s">
        <v>27</v>
      </c>
      <c r="H17" s="488"/>
      <c r="J17" s="459"/>
    </row>
    <row r="18" spans="1:15" hidden="1">
      <c r="A18" s="529"/>
      <c r="H18" s="423"/>
    </row>
    <row r="19" spans="1:15" ht="13" customHeight="1">
      <c r="A19" s="529"/>
      <c r="B19" s="489" t="s">
        <v>28</v>
      </c>
      <c r="C19" s="490" t="s">
        <v>29</v>
      </c>
      <c r="E19" s="442">
        <v>0.85</v>
      </c>
      <c r="F19" s="5" t="s">
        <v>30</v>
      </c>
      <c r="H19" s="477"/>
    </row>
    <row r="20" spans="1:15">
      <c r="A20" s="529"/>
      <c r="B20" s="491"/>
      <c r="C20" s="490" t="s">
        <v>31</v>
      </c>
      <c r="E20" s="442">
        <v>0.03</v>
      </c>
      <c r="F20" s="5" t="s">
        <v>32</v>
      </c>
      <c r="H20" s="423"/>
    </row>
    <row r="21" spans="1:15">
      <c r="A21" s="529"/>
      <c r="G21" s="29" t="s">
        <v>33</v>
      </c>
      <c r="H21" s="423"/>
    </row>
    <row r="22" spans="1:15">
      <c r="A22" s="529"/>
      <c r="B22" s="489" t="s">
        <v>34</v>
      </c>
      <c r="C22" s="492" t="s">
        <v>35</v>
      </c>
      <c r="D22" s="493" t="s">
        <v>36</v>
      </c>
      <c r="E22" s="493" t="s">
        <v>37</v>
      </c>
      <c r="F22" s="493" t="s">
        <v>38</v>
      </c>
      <c r="G22" s="493" t="s">
        <v>39</v>
      </c>
      <c r="H22" s="494" t="s">
        <v>40</v>
      </c>
    </row>
    <row r="23" spans="1:15" ht="18" customHeight="1">
      <c r="A23" s="529"/>
      <c r="B23" s="590" t="s">
        <v>41</v>
      </c>
      <c r="C23" s="93" t="s">
        <v>454</v>
      </c>
      <c r="D23" s="589" t="s">
        <v>402</v>
      </c>
      <c r="E23" s="495"/>
      <c r="F23" s="5"/>
      <c r="G23" s="493"/>
      <c r="H23" s="494"/>
      <c r="I23" s="449" t="s">
        <v>44</v>
      </c>
      <c r="J23" s="449" t="s">
        <v>42</v>
      </c>
      <c r="K23" s="449" t="s">
        <v>45</v>
      </c>
      <c r="L23" s="449" t="s">
        <v>46</v>
      </c>
      <c r="M23" s="449" t="s">
        <v>402</v>
      </c>
      <c r="N23" s="449" t="s">
        <v>403</v>
      </c>
      <c r="O23" s="449" t="s">
        <v>424</v>
      </c>
    </row>
    <row r="24" spans="1:15" ht="19" hidden="1" customHeight="1">
      <c r="A24" s="529"/>
      <c r="B24" s="495"/>
      <c r="C24" s="95"/>
      <c r="D24" s="96"/>
      <c r="E24" s="496"/>
      <c r="F24" s="580" t="s">
        <v>47</v>
      </c>
      <c r="G24" s="581" t="s">
        <v>48</v>
      </c>
      <c r="H24" s="582" t="s">
        <v>49</v>
      </c>
      <c r="I24" s="449"/>
      <c r="J24" s="449"/>
      <c r="K24" s="449"/>
      <c r="L24" s="449"/>
      <c r="M24" s="449"/>
      <c r="N24" s="449"/>
    </row>
    <row r="25" spans="1:15" ht="17" hidden="1" customHeight="1" thickBot="1">
      <c r="A25" s="529"/>
      <c r="B25" s="476"/>
      <c r="C25" s="586" t="s">
        <v>50</v>
      </c>
      <c r="F25" s="583">
        <v>33.18</v>
      </c>
      <c r="G25" s="584">
        <v>24</v>
      </c>
      <c r="H25" s="585">
        <v>24</v>
      </c>
    </row>
    <row r="26" spans="1:15" ht="17" customHeight="1">
      <c r="A26" s="529"/>
      <c r="E26" s="29"/>
      <c r="G26" s="283"/>
      <c r="H26" s="423"/>
    </row>
    <row r="27" spans="1:15" ht="16" hidden="1" customHeight="1">
      <c r="A27" s="529"/>
      <c r="B27" s="489" t="s">
        <v>51</v>
      </c>
      <c r="C27" s="29" t="s">
        <v>52</v>
      </c>
      <c r="D27" s="441" t="s">
        <v>35</v>
      </c>
      <c r="E27" s="5" t="s">
        <v>53</v>
      </c>
      <c r="H27" s="423"/>
    </row>
    <row r="28" spans="1:15" ht="18" hidden="1" customHeight="1">
      <c r="A28" s="529"/>
      <c r="B28" s="2"/>
      <c r="C28" s="29" t="s">
        <v>54</v>
      </c>
      <c r="D28" s="440">
        <v>10</v>
      </c>
      <c r="E28" s="497">
        <f>IF(Salary="BLS adj min wage",Wages!B19,IF(Salary="BLS adj $12.10",Wages!B30,
IF(Salary="Kindergarten Parity",Wages!D8,
IF(Salary="User added",Wages!E8,IF(Salary="$15 min wage",Wages!B40,
IF(Salary="$18 min wage",Wages!B50))))))</f>
        <v>31200</v>
      </c>
      <c r="H28" s="423"/>
    </row>
    <row r="29" spans="1:15" ht="17" hidden="1" customHeight="1">
      <c r="A29" s="529"/>
      <c r="C29" s="29" t="s">
        <v>55</v>
      </c>
      <c r="D29" s="440">
        <v>10</v>
      </c>
      <c r="E29" s="5" t="s">
        <v>56</v>
      </c>
      <c r="H29" s="423"/>
    </row>
    <row r="30" spans="1:15" ht="16" hidden="1" customHeight="1">
      <c r="A30" s="529"/>
      <c r="H30" s="423"/>
    </row>
    <row r="31" spans="1:15" hidden="1">
      <c r="A31" s="529"/>
      <c r="B31" s="498" t="s">
        <v>57</v>
      </c>
      <c r="H31" s="423"/>
    </row>
    <row r="32" spans="1:15" hidden="1">
      <c r="A32" s="529"/>
      <c r="B32" s="29" t="s">
        <v>58</v>
      </c>
      <c r="C32" s="29" t="s">
        <v>59</v>
      </c>
      <c r="D32" s="87">
        <v>0</v>
      </c>
      <c r="E32" s="499" t="s">
        <v>60</v>
      </c>
      <c r="F32" s="11">
        <v>500</v>
      </c>
      <c r="H32" s="423"/>
    </row>
    <row r="33" spans="1:36" hidden="1">
      <c r="A33" s="529"/>
      <c r="B33" s="29" t="s">
        <v>61</v>
      </c>
      <c r="C33" s="29" t="s">
        <v>62</v>
      </c>
      <c r="D33" s="231">
        <v>0</v>
      </c>
      <c r="E33" s="5" t="s">
        <v>63</v>
      </c>
      <c r="F33" s="11"/>
      <c r="H33" s="423"/>
    </row>
    <row r="34" spans="1:36" hidden="1">
      <c r="A34" s="529"/>
      <c r="B34" s="29"/>
      <c r="C34" s="29"/>
      <c r="E34" s="5"/>
      <c r="G34" s="500"/>
      <c r="H34" s="423"/>
    </row>
    <row r="35" spans="1:36" hidden="1">
      <c r="A35" s="529"/>
      <c r="B35" s="29"/>
      <c r="C35" s="29"/>
      <c r="D35" s="11"/>
      <c r="E35" s="5"/>
      <c r="G35" s="500"/>
      <c r="H35" s="423"/>
    </row>
    <row r="36" spans="1:36">
      <c r="A36" s="529"/>
      <c r="B36" s="489" t="s">
        <v>64</v>
      </c>
      <c r="E36" s="5"/>
      <c r="H36" s="423"/>
    </row>
    <row r="37" spans="1:36">
      <c r="A37" s="529"/>
      <c r="B37" s="501" t="s">
        <v>65</v>
      </c>
      <c r="D37" s="16"/>
      <c r="E37" s="16"/>
      <c r="H37" s="423"/>
    </row>
    <row r="38" spans="1:36">
      <c r="A38" s="529"/>
      <c r="B38" s="527"/>
      <c r="C38" s="2" t="s">
        <v>66</v>
      </c>
      <c r="D38" s="2" t="s">
        <v>68</v>
      </c>
      <c r="G38" s="450"/>
      <c r="H38" s="600"/>
      <c r="I38" s="460"/>
      <c r="J38" s="461"/>
      <c r="AI38"/>
      <c r="AJ38"/>
    </row>
    <row r="39" spans="1:36" ht="14">
      <c r="A39" s="529"/>
      <c r="B39" s="203" t="str">
        <f>D8</f>
        <v>Infants</v>
      </c>
      <c r="C39" s="443">
        <v>1</v>
      </c>
      <c r="D39" s="241">
        <f>C8-C39</f>
        <v>11</v>
      </c>
      <c r="G39" s="450"/>
      <c r="H39" s="600"/>
      <c r="I39" s="460"/>
      <c r="J39" s="461"/>
      <c r="AI39"/>
      <c r="AJ39"/>
    </row>
    <row r="40" spans="1:36" ht="14">
      <c r="A40" s="529"/>
      <c r="B40" s="203" t="str">
        <f t="shared" ref="B40:B43" si="1">D9</f>
        <v>Two-year-olds</v>
      </c>
      <c r="C40" s="443">
        <v>1</v>
      </c>
      <c r="D40" s="241">
        <f t="shared" ref="D40:D44" si="2">C9-C40</f>
        <v>19</v>
      </c>
      <c r="G40" s="450"/>
      <c r="H40" s="600"/>
      <c r="I40" s="462"/>
      <c r="J40" s="461"/>
      <c r="AI40"/>
      <c r="AJ40"/>
    </row>
    <row r="41" spans="1:36" ht="14">
      <c r="A41" s="529"/>
      <c r="B41" s="203" t="str">
        <f t="shared" si="1"/>
        <v>Three-year-olds</v>
      </c>
      <c r="C41" s="443">
        <v>1</v>
      </c>
      <c r="D41" s="241">
        <f t="shared" si="2"/>
        <v>23</v>
      </c>
      <c r="G41" s="450"/>
      <c r="H41" s="600"/>
      <c r="I41" s="460"/>
      <c r="J41" s="461"/>
      <c r="AI41"/>
      <c r="AJ41"/>
    </row>
    <row r="42" spans="1:36" ht="14">
      <c r="A42" s="529"/>
      <c r="B42" s="203" t="str">
        <f t="shared" si="1"/>
        <v>Four-year-olds</v>
      </c>
      <c r="C42" s="443">
        <v>1</v>
      </c>
      <c r="D42" s="241">
        <f t="shared" si="2"/>
        <v>23</v>
      </c>
      <c r="G42" s="450"/>
      <c r="H42" s="600"/>
      <c r="I42" s="463"/>
      <c r="J42" s="461"/>
      <c r="AI42"/>
      <c r="AJ42"/>
    </row>
    <row r="43" spans="1:36" ht="14">
      <c r="A43" s="529"/>
      <c r="B43" s="203" t="str">
        <f t="shared" si="1"/>
        <v>School age</v>
      </c>
      <c r="C43" s="443">
        <v>1</v>
      </c>
      <c r="D43" s="241">
        <f t="shared" si="2"/>
        <v>29</v>
      </c>
      <c r="G43" s="450"/>
      <c r="H43" s="529"/>
      <c r="AI43"/>
      <c r="AJ43"/>
    </row>
    <row r="44" spans="1:36">
      <c r="A44" s="529"/>
      <c r="B44" s="528" t="s">
        <v>97</v>
      </c>
      <c r="C44" s="242">
        <f>SUM(C39:C43)</f>
        <v>5</v>
      </c>
      <c r="D44" s="241">
        <f t="shared" si="2"/>
        <v>105</v>
      </c>
      <c r="G44" s="450"/>
      <c r="H44" s="529"/>
      <c r="AI44"/>
      <c r="AJ44"/>
    </row>
    <row r="45" spans="1:36" ht="16">
      <c r="A45" s="529"/>
      <c r="B45" s="29"/>
      <c r="C45" s="32" t="s">
        <v>456</v>
      </c>
      <c r="D45" s="243">
        <f>SUM(C39:C43)</f>
        <v>5</v>
      </c>
      <c r="G45" s="450"/>
      <c r="H45" s="529"/>
      <c r="AI45"/>
      <c r="AJ45"/>
    </row>
    <row r="46" spans="1:36">
      <c r="A46" s="529"/>
      <c r="C46" s="32" t="s">
        <v>70</v>
      </c>
      <c r="D46" s="244">
        <f>D45/C13</f>
        <v>4.5454545454545456E-2</v>
      </c>
      <c r="G46" s="450"/>
      <c r="H46" s="529"/>
      <c r="AI46"/>
      <c r="AJ46"/>
    </row>
    <row r="47" spans="1:36">
      <c r="A47" s="529"/>
      <c r="B47" s="502" t="str">
        <f>IF(RatioOpt="Licensing/Star 2","Note: Programs must be rated Star 2 to receive child care subsidy revenue", " ")</f>
        <v>Note: Programs must be rated Star 2 to receive child care subsidy revenue</v>
      </c>
      <c r="C47" s="29"/>
      <c r="D47" s="11"/>
      <c r="E47" s="5"/>
      <c r="G47" s="500"/>
      <c r="H47" s="423"/>
    </row>
    <row r="48" spans="1:36">
      <c r="A48" s="529"/>
      <c r="B48" s="29"/>
      <c r="C48" s="29"/>
      <c r="E48" s="5"/>
      <c r="G48" s="500"/>
      <c r="H48" s="423"/>
    </row>
    <row r="49" spans="1:12" ht="15" customHeight="1" thickBot="1">
      <c r="A49" s="529"/>
      <c r="B49" s="29"/>
      <c r="C49" s="29"/>
      <c r="E49" s="5"/>
      <c r="G49" s="500"/>
      <c r="H49" s="423"/>
      <c r="I49" s="464"/>
    </row>
    <row r="50" spans="1:12" ht="15" customHeight="1" thickBot="1">
      <c r="A50" s="529"/>
      <c r="B50" s="536" t="s">
        <v>429</v>
      </c>
      <c r="C50" s="531"/>
      <c r="E50" s="555" t="s">
        <v>449</v>
      </c>
      <c r="F50" s="553" t="s">
        <v>71</v>
      </c>
      <c r="G50" s="553" t="s">
        <v>427</v>
      </c>
      <c r="H50" s="554" t="s">
        <v>428</v>
      </c>
      <c r="I50" s="465"/>
      <c r="J50" s="466"/>
      <c r="K50" s="467"/>
      <c r="L50" s="468"/>
    </row>
    <row r="51" spans="1:12" ht="15" customHeight="1">
      <c r="A51" s="529"/>
      <c r="B51" s="532"/>
      <c r="C51" s="533"/>
      <c r="E51" s="545" t="str">
        <f>D8</f>
        <v>Infants</v>
      </c>
      <c r="F51" s="543">
        <f>'Quality Center Profile'!H7</f>
        <v>14896.236705681316</v>
      </c>
      <c r="G51" s="543">
        <f>F51/12</f>
        <v>1241.3530588067763</v>
      </c>
      <c r="H51" s="351">
        <f>F51/52</f>
        <v>286.46609049387149</v>
      </c>
      <c r="I51" s="465"/>
      <c r="J51" s="469"/>
      <c r="K51" s="467"/>
    </row>
    <row r="52" spans="1:12" ht="15" customHeight="1">
      <c r="A52" s="529"/>
      <c r="B52" s="534" t="s">
        <v>432</v>
      </c>
      <c r="C52" s="593">
        <f>'Quality Center Profile'!A17</f>
        <v>14.6</v>
      </c>
      <c r="E52" s="545" t="str">
        <f>D9</f>
        <v>Two-year-olds</v>
      </c>
      <c r="F52" s="543">
        <f>'Quality Center Profile'!H8</f>
        <v>11099.661483459096</v>
      </c>
      <c r="G52" s="543">
        <f>F52/12</f>
        <v>924.97179028825803</v>
      </c>
      <c r="H52" s="351">
        <f>F52/52</f>
        <v>213.45502852805956</v>
      </c>
      <c r="I52" s="465"/>
      <c r="J52" s="469"/>
      <c r="K52" s="467"/>
    </row>
    <row r="53" spans="1:12" ht="15" customHeight="1">
      <c r="A53" s="529"/>
      <c r="B53" s="534" t="s">
        <v>433</v>
      </c>
      <c r="C53" s="593">
        <f>_NumberTeachingStaff</f>
        <v>11.6</v>
      </c>
      <c r="E53" s="545" t="str">
        <f>D10</f>
        <v>Three-year-olds</v>
      </c>
      <c r="F53" s="543">
        <f>'Quality Center Profile'!H9</f>
        <v>10150.517677903537</v>
      </c>
      <c r="G53" s="543">
        <f>F53/12</f>
        <v>845.87647315862807</v>
      </c>
      <c r="H53" s="351">
        <f>F53/52</f>
        <v>195.2022630366065</v>
      </c>
      <c r="I53" s="465"/>
      <c r="J53" s="460"/>
      <c r="K53" s="467"/>
    </row>
    <row r="54" spans="1:12" ht="15" customHeight="1">
      <c r="A54" s="529"/>
      <c r="B54" s="532"/>
      <c r="C54" s="533"/>
      <c r="E54" s="545" t="str">
        <f>D11</f>
        <v>Four-year-olds</v>
      </c>
      <c r="F54" s="543">
        <f>'Quality Center Profile'!H10</f>
        <v>10150.517677903537</v>
      </c>
      <c r="G54" s="543">
        <f>F54/12</f>
        <v>845.87647315862807</v>
      </c>
      <c r="H54" s="351">
        <f>F54/52</f>
        <v>195.2022630366065</v>
      </c>
      <c r="I54" s="465"/>
      <c r="J54" s="469"/>
      <c r="K54" s="467"/>
    </row>
    <row r="55" spans="1:12" ht="15" customHeight="1" thickBot="1">
      <c r="A55" s="529"/>
      <c r="B55" s="538" t="s">
        <v>192</v>
      </c>
      <c r="C55" s="539"/>
      <c r="E55" s="546" t="str">
        <f>D12</f>
        <v>School age</v>
      </c>
      <c r="F55" s="352">
        <f>'Quality Center Profile'!H11</f>
        <v>6407.6487547568622</v>
      </c>
      <c r="G55" s="352">
        <f>F55/12</f>
        <v>533.97072956307181</v>
      </c>
      <c r="H55" s="353">
        <f>F55/52</f>
        <v>123.22401451455504</v>
      </c>
      <c r="I55" s="470"/>
      <c r="J55" s="469"/>
      <c r="K55" s="471"/>
    </row>
    <row r="56" spans="1:12" ht="15" customHeight="1">
      <c r="A56" s="529"/>
      <c r="B56" s="545" t="s">
        <v>430</v>
      </c>
      <c r="C56" s="569">
        <f>'Quality Center Profile'!D37</f>
        <v>567832.73396159988</v>
      </c>
      <c r="H56" s="421"/>
    </row>
    <row r="57" spans="1:12" ht="15" customHeight="1" thickBot="1">
      <c r="A57" s="529"/>
      <c r="B57" s="545" t="s">
        <v>89</v>
      </c>
      <c r="C57" s="569">
        <f>SUM('Quality Center Profile'!D43:D45)</f>
        <v>143249.42249710238</v>
      </c>
      <c r="H57" s="423"/>
      <c r="I57" s="468"/>
      <c r="J57" s="468"/>
      <c r="K57" s="468"/>
    </row>
    <row r="58" spans="1:12" ht="15" customHeight="1" thickBot="1">
      <c r="A58" s="529"/>
      <c r="B58" s="544" t="s">
        <v>431</v>
      </c>
      <c r="C58" s="568">
        <f>Personnel</f>
        <v>711082.15645870229</v>
      </c>
      <c r="E58" s="556" t="s">
        <v>455</v>
      </c>
      <c r="F58" s="551" t="s">
        <v>446</v>
      </c>
      <c r="G58" s="551" t="s">
        <v>447</v>
      </c>
      <c r="H58" s="552" t="s">
        <v>448</v>
      </c>
      <c r="I58" s="468"/>
      <c r="J58" s="468"/>
      <c r="K58" s="468"/>
    </row>
    <row r="59" spans="1:12" ht="15" customHeight="1">
      <c r="A59" s="529"/>
      <c r="B59" s="545" t="s">
        <v>434</v>
      </c>
      <c r="C59" s="569">
        <f>NP_EdProgram</f>
        <v>161729.8382</v>
      </c>
      <c r="E59" s="547" t="str">
        <f>D8</f>
        <v>Infants</v>
      </c>
      <c r="F59" s="542">
        <f>G59*12</f>
        <v>12900</v>
      </c>
      <c r="G59" s="542">
        <f>IF(RatioOpt=I$2,'Subsidy rates'!B3,IF(RatioOpt='VariablesINPUT-CTR'!J$2,'Subsidy rates'!C3,IF(RatioOpt='VariablesINPUT-CTR'!K$2,'Subsidy rates'!D3,IF(RatioOpt='VariablesINPUT-CTR'!L$2,'Subsidy rates'!E3,"error"))))</f>
        <v>1075</v>
      </c>
      <c r="H59" s="596">
        <f>F59/52</f>
        <v>248.07692307692307</v>
      </c>
      <c r="I59" s="468"/>
      <c r="J59" s="468"/>
      <c r="K59" s="468"/>
    </row>
    <row r="60" spans="1:12" ht="15" customHeight="1">
      <c r="A60" s="529"/>
      <c r="B60" s="545" t="s">
        <v>141</v>
      </c>
      <c r="C60" s="569">
        <f>NP_Occupancy</f>
        <v>116785.08333333331</v>
      </c>
      <c r="E60" s="547" t="str">
        <f>D9</f>
        <v>Two-year-olds</v>
      </c>
      <c r="F60" s="542">
        <f t="shared" ref="F60:F61" si="3">G60*12</f>
        <v>9300</v>
      </c>
      <c r="G60" s="542">
        <f>IF(RatioOpt=I$2,'Subsidy rates'!B4,IF(RatioOpt='VariablesINPUT-CTR'!J$2,'Subsidy rates'!C4,IF(RatioOpt='VariablesINPUT-CTR'!K$2,'Subsidy rates'!D4,IF(RatioOpt='VariablesINPUT-CTR'!L$2,'Subsidy rates'!E4,"error"))))</f>
        <v>775</v>
      </c>
      <c r="H60" s="596">
        <f t="shared" ref="H60:H61" si="4">F60/52</f>
        <v>178.84615384615384</v>
      </c>
      <c r="I60" s="468"/>
      <c r="J60" s="468"/>
      <c r="K60" s="468"/>
    </row>
    <row r="61" spans="1:12" ht="15" customHeight="1">
      <c r="A61" s="529"/>
      <c r="B61" s="545" t="s">
        <v>435</v>
      </c>
      <c r="C61" s="569">
        <f>NP_MgtAdmin</f>
        <v>13292.291083076923</v>
      </c>
      <c r="E61" s="547" t="str">
        <f>D10</f>
        <v>Three-year-olds</v>
      </c>
      <c r="F61" s="542">
        <f t="shared" si="3"/>
        <v>8400</v>
      </c>
      <c r="G61" s="542">
        <f>IF(RatioOpt=I$2,'Subsidy rates'!B5,IF(RatioOpt='VariablesINPUT-CTR'!J$2,'Subsidy rates'!C5,IF(RatioOpt='VariablesINPUT-CTR'!K$2,'Subsidy rates'!D5,IF(RatioOpt='VariablesINPUT-CTR'!L$2,'Subsidy rates'!E5,"error"))))</f>
        <v>700</v>
      </c>
      <c r="H61" s="596">
        <f t="shared" si="4"/>
        <v>161.53846153846155</v>
      </c>
      <c r="I61" s="468"/>
      <c r="J61" s="468"/>
      <c r="K61" s="468"/>
    </row>
    <row r="62" spans="1:12" ht="15" customHeight="1">
      <c r="A62" s="529"/>
      <c r="B62" s="545" t="s">
        <v>144</v>
      </c>
      <c r="C62" s="569">
        <f>'Quality Center Profile'!D52</f>
        <v>14362.965804347827</v>
      </c>
      <c r="E62" s="547" t="str">
        <f>D11</f>
        <v>Four-year-olds</v>
      </c>
      <c r="F62" s="542">
        <f>G62*12</f>
        <v>8400</v>
      </c>
      <c r="G62" s="542">
        <f>IF(RatioOpt=I$2,'Subsidy rates'!B6,IF(RatioOpt='VariablesINPUT-CTR'!J$2,'Subsidy rates'!C6,IF(RatioOpt='VariablesINPUT-CTR'!K$2,'Subsidy rates'!D6,IF(RatioOpt='VariablesINPUT-CTR'!L$2,'Subsidy rates'!E6,"error"))))</f>
        <v>700</v>
      </c>
      <c r="H62" s="596">
        <f t="shared" ref="H62" si="5">F62/52</f>
        <v>161.53846153846155</v>
      </c>
      <c r="I62" s="468"/>
      <c r="J62" s="468"/>
      <c r="K62" s="468"/>
    </row>
    <row r="63" spans="1:12" ht="15" customHeight="1" thickBot="1">
      <c r="A63" s="529"/>
      <c r="B63" s="545" t="s">
        <v>436</v>
      </c>
      <c r="C63" s="569">
        <f>Reserve_Fund</f>
        <v>50862.61674397302</v>
      </c>
      <c r="E63" s="548" t="str">
        <f>D12</f>
        <v>School age</v>
      </c>
      <c r="F63" s="92">
        <f>G63*12</f>
        <v>6000</v>
      </c>
      <c r="G63" s="92">
        <f>IF(RatioOpt=I$2,'Subsidy rates'!B7,IF(RatioOpt='VariablesINPUT-CTR'!J$2,'Subsidy rates'!C7,IF(RatioOpt='VariablesINPUT-CTR'!K$2,'Subsidy rates'!D7,IF(RatioOpt='VariablesINPUT-CTR'!L$2,'Subsidy rates'!E7,"error"))))</f>
        <v>500</v>
      </c>
      <c r="H63" s="597">
        <f>F63/52</f>
        <v>115.38461538461539</v>
      </c>
      <c r="I63" s="468"/>
      <c r="J63" s="468"/>
      <c r="K63" s="468"/>
    </row>
    <row r="64" spans="1:12" ht="15" customHeight="1" thickBot="1">
      <c r="A64" s="529"/>
      <c r="B64" s="545" t="s">
        <v>21</v>
      </c>
      <c r="C64" s="569">
        <f>GRT</f>
        <v>12087.429695999996</v>
      </c>
      <c r="E64" s="503"/>
      <c r="F64" s="503"/>
      <c r="G64" s="209"/>
      <c r="H64" s="423"/>
    </row>
    <row r="65" spans="1:8" ht="15" customHeight="1" thickBot="1">
      <c r="A65" s="529"/>
      <c r="B65" s="544" t="s">
        <v>318</v>
      </c>
      <c r="C65" s="568">
        <f>SUM('Quality Center Profile'!D54:D57)</f>
        <v>369120.2248607311</v>
      </c>
      <c r="E65" s="559" t="s">
        <v>450</v>
      </c>
      <c r="F65" s="557" t="s">
        <v>446</v>
      </c>
      <c r="G65" s="557" t="s">
        <v>447</v>
      </c>
      <c r="H65" s="558" t="s">
        <v>448</v>
      </c>
    </row>
    <row r="66" spans="1:8" ht="15" customHeight="1">
      <c r="A66" s="529"/>
      <c r="B66" s="538" t="s">
        <v>437</v>
      </c>
      <c r="C66" s="570">
        <f>SUM(C58,C65)</f>
        <v>1080202.3813194335</v>
      </c>
      <c r="E66" s="549" t="str">
        <f>D8</f>
        <v>Infants</v>
      </c>
      <c r="F66" s="530">
        <f t="shared" ref="F66:H70" si="6">F59-F51</f>
        <v>-1996.2367056813164</v>
      </c>
      <c r="G66" s="530">
        <f>G59-G51</f>
        <v>-166.35305880677629</v>
      </c>
      <c r="H66" s="213">
        <f t="shared" si="6"/>
        <v>-38.389167416948425</v>
      </c>
    </row>
    <row r="67" spans="1:8" ht="15" customHeight="1">
      <c r="A67" s="529"/>
      <c r="B67" s="532"/>
      <c r="C67" s="560"/>
      <c r="E67" s="549" t="str">
        <f>D9</f>
        <v>Two-year-olds</v>
      </c>
      <c r="F67" s="530">
        <f t="shared" si="6"/>
        <v>-1799.6614834590964</v>
      </c>
      <c r="G67" s="530">
        <f>G60-G52</f>
        <v>-149.97179028825803</v>
      </c>
      <c r="H67" s="213">
        <f t="shared" si="6"/>
        <v>-34.608874681905718</v>
      </c>
    </row>
    <row r="68" spans="1:8" ht="15" customHeight="1">
      <c r="A68" s="529"/>
      <c r="B68" s="538" t="s">
        <v>438</v>
      </c>
      <c r="C68" s="561"/>
      <c r="E68" s="549" t="str">
        <f>D10</f>
        <v>Three-year-olds</v>
      </c>
      <c r="F68" s="530">
        <f t="shared" si="6"/>
        <v>-1750.5176779035373</v>
      </c>
      <c r="G68" s="530">
        <f>G61-G53</f>
        <v>-145.87647315862807</v>
      </c>
      <c r="H68" s="213">
        <f t="shared" si="6"/>
        <v>-33.663801498144949</v>
      </c>
    </row>
    <row r="69" spans="1:8" ht="15" customHeight="1">
      <c r="A69" s="529"/>
      <c r="B69" s="532" t="s">
        <v>439</v>
      </c>
      <c r="C69" s="594">
        <f>'Quality Center Profile'!D63</f>
        <v>32291.999999999993</v>
      </c>
      <c r="E69" s="549" t="str">
        <f>D11</f>
        <v>Four-year-olds</v>
      </c>
      <c r="F69" s="530">
        <f t="shared" si="6"/>
        <v>-1750.5176779035373</v>
      </c>
      <c r="G69" s="530">
        <f>G62-G54</f>
        <v>-145.87647315862807</v>
      </c>
      <c r="H69" s="213">
        <f t="shared" si="6"/>
        <v>-33.663801498144949</v>
      </c>
    </row>
    <row r="70" spans="1:8" ht="15" customHeight="1" thickBot="1">
      <c r="A70" s="529"/>
      <c r="B70" s="532" t="s">
        <v>334</v>
      </c>
      <c r="C70" s="594">
        <f>SUM('Quality Center Profile'!D65)</f>
        <v>45000</v>
      </c>
      <c r="E70" s="550" t="str">
        <f>D12</f>
        <v>School age</v>
      </c>
      <c r="F70" s="201">
        <f t="shared" si="6"/>
        <v>-407.64875475686222</v>
      </c>
      <c r="G70" s="201">
        <f>G63-G55</f>
        <v>-33.970729563071814</v>
      </c>
      <c r="H70" s="214">
        <f t="shared" si="6"/>
        <v>-7.8393991299396504</v>
      </c>
    </row>
    <row r="71" spans="1:8">
      <c r="A71" s="529"/>
      <c r="B71" s="534" t="s">
        <v>440</v>
      </c>
      <c r="C71" s="594">
        <f>'Quality Center Profile'!D64</f>
        <v>1181815.26</v>
      </c>
      <c r="H71" s="423"/>
    </row>
    <row r="72" spans="1:8" ht="18" customHeight="1">
      <c r="A72" s="529"/>
      <c r="B72" s="534" t="s">
        <v>441</v>
      </c>
      <c r="C72" s="594">
        <f>'Quality Center Profile'!D66</f>
        <v>0</v>
      </c>
      <c r="H72" s="423"/>
    </row>
    <row r="73" spans="1:8" ht="29" customHeight="1">
      <c r="A73" s="529"/>
      <c r="B73" s="541" t="s">
        <v>442</v>
      </c>
      <c r="C73" s="595">
        <f>'Quality Center Profile'!E72</f>
        <v>-151092.87119999994</v>
      </c>
      <c r="D73" s="25"/>
      <c r="H73" s="423"/>
    </row>
    <row r="74" spans="1:8">
      <c r="A74" s="529"/>
      <c r="B74" s="538" t="s">
        <v>445</v>
      </c>
      <c r="C74" s="570">
        <f>SUM(C69:C73)</f>
        <v>1108014.3888000001</v>
      </c>
      <c r="H74" s="423"/>
    </row>
    <row r="75" spans="1:8" ht="23" customHeight="1">
      <c r="A75" s="529"/>
      <c r="B75" s="537"/>
      <c r="C75" s="562"/>
      <c r="H75" s="423"/>
    </row>
    <row r="76" spans="1:8" ht="28">
      <c r="A76" s="529"/>
      <c r="B76" s="541" t="s">
        <v>443</v>
      </c>
      <c r="C76" s="564">
        <f>'Quality Center Profile'!D75</f>
        <v>27812.007480566856</v>
      </c>
      <c r="H76" s="423"/>
    </row>
    <row r="77" spans="1:8" ht="15" thickBot="1">
      <c r="A77" s="529"/>
      <c r="B77" s="535" t="s">
        <v>444</v>
      </c>
      <c r="C77" s="563">
        <f>'Quality Center Profile'!E75</f>
        <v>2.6038402924980355E-2</v>
      </c>
      <c r="D77" s="425"/>
      <c r="H77" s="423"/>
    </row>
    <row r="78" spans="1:8">
      <c r="A78" s="529"/>
      <c r="B78" s="29"/>
      <c r="D78" s="450"/>
      <c r="H78" s="423"/>
    </row>
    <row r="79" spans="1:8" s="450" customFormat="1" ht="14" thickBot="1">
      <c r="A79" s="529"/>
      <c r="B79" s="504" t="s">
        <v>426</v>
      </c>
      <c r="C79" s="428"/>
      <c r="D79" s="601"/>
      <c r="E79" s="428"/>
      <c r="F79" s="428"/>
      <c r="G79" s="428"/>
      <c r="H79" s="228"/>
    </row>
    <row r="80" spans="1:8" s="450" customFormat="1"/>
    <row r="81" s="450" customFormat="1"/>
    <row r="82" s="450" customFormat="1"/>
    <row r="83" s="450" customFormat="1"/>
    <row r="84" s="450" customFormat="1"/>
    <row r="85" s="450" customFormat="1"/>
    <row r="86" s="450" customFormat="1"/>
    <row r="87" s="450" customFormat="1"/>
    <row r="88" s="450" customFormat="1"/>
    <row r="89" s="450" customFormat="1"/>
    <row r="90" s="450" customFormat="1"/>
    <row r="91" s="450" customFormat="1"/>
    <row r="92" s="450" customFormat="1"/>
    <row r="93" s="450" customFormat="1"/>
    <row r="94" s="450" customFormat="1"/>
    <row r="95" s="450" customFormat="1"/>
    <row r="96" s="450" customFormat="1"/>
    <row r="97" s="450" customFormat="1"/>
    <row r="98" s="450" customFormat="1"/>
    <row r="99" s="450" customFormat="1"/>
    <row r="100" s="450" customFormat="1"/>
    <row r="101" s="450" customFormat="1"/>
    <row r="102" s="450" customFormat="1"/>
    <row r="103" s="450" customFormat="1"/>
    <row r="104" s="450" customFormat="1"/>
    <row r="105" s="450" customFormat="1"/>
    <row r="106" s="450" customFormat="1"/>
    <row r="107" s="450" customFormat="1"/>
    <row r="108" s="450" customFormat="1"/>
    <row r="109" s="450" customFormat="1"/>
    <row r="110" s="450" customFormat="1"/>
    <row r="111" s="450" customFormat="1"/>
    <row r="112" s="450" customFormat="1"/>
    <row r="113" s="450" customFormat="1"/>
    <row r="114" s="450" customFormat="1"/>
    <row r="115" s="450" customFormat="1"/>
    <row r="116" s="450" customFormat="1"/>
    <row r="117" s="450" customFormat="1"/>
    <row r="118" s="450" customFormat="1"/>
    <row r="119" s="450" customFormat="1"/>
    <row r="120" s="450" customFormat="1"/>
    <row r="121" s="450" customFormat="1"/>
    <row r="122" s="450" customFormat="1"/>
    <row r="123" s="450" customFormat="1"/>
    <row r="124" s="450" customFormat="1"/>
    <row r="125" s="450" customFormat="1"/>
    <row r="126" s="450" customFormat="1"/>
    <row r="127" s="450" customFormat="1"/>
    <row r="128" s="450" customFormat="1"/>
    <row r="129" s="450" customFormat="1"/>
    <row r="130" s="450" customFormat="1"/>
    <row r="131" s="450" customFormat="1"/>
    <row r="132" s="450" customFormat="1"/>
    <row r="133" s="450" customFormat="1"/>
    <row r="134" s="450" customFormat="1"/>
    <row r="135" s="450" customFormat="1"/>
    <row r="136" s="450" customFormat="1"/>
    <row r="137" s="450" customFormat="1"/>
    <row r="138" s="450" customFormat="1"/>
    <row r="139" s="450" customFormat="1"/>
    <row r="140" s="450" customFormat="1"/>
    <row r="141" s="450" customFormat="1"/>
    <row r="142" s="450" customFormat="1"/>
    <row r="143" s="450" customFormat="1"/>
    <row r="144" s="450" customFormat="1"/>
    <row r="145" s="450" customFormat="1"/>
    <row r="146" s="450" customFormat="1"/>
    <row r="147" s="450" customFormat="1"/>
    <row r="148" s="450" customFormat="1"/>
    <row r="149" s="450" customFormat="1"/>
    <row r="150" s="450" customFormat="1"/>
    <row r="151" s="450" customFormat="1"/>
    <row r="152" s="450" customFormat="1"/>
    <row r="153" s="450" customFormat="1"/>
    <row r="154" s="450" customFormat="1"/>
    <row r="155" s="450" customFormat="1"/>
    <row r="156" s="450" customFormat="1"/>
    <row r="157" s="450" customFormat="1"/>
    <row r="158" s="450" customFormat="1"/>
    <row r="159" s="450" customFormat="1"/>
    <row r="160" s="450" customFormat="1"/>
    <row r="161" s="450" customFormat="1"/>
    <row r="162" s="450" customFormat="1"/>
    <row r="163" s="450" customFormat="1"/>
    <row r="164" s="450" customFormat="1"/>
    <row r="165" s="450" customFormat="1"/>
    <row r="166" s="450" customFormat="1"/>
    <row r="167" s="450" customFormat="1"/>
    <row r="168" s="450" customFormat="1"/>
    <row r="169" s="450" customFormat="1"/>
    <row r="170" s="450" customFormat="1"/>
    <row r="171" s="450" customFormat="1"/>
    <row r="172" s="450" customFormat="1"/>
    <row r="173" s="450" customFormat="1"/>
    <row r="174" s="450" customFormat="1"/>
    <row r="175" s="450" customFormat="1"/>
    <row r="176" s="450" customFormat="1"/>
    <row r="177" s="450" customFormat="1"/>
    <row r="178" s="450" customFormat="1"/>
    <row r="179" s="450" customFormat="1"/>
    <row r="180" s="450" customFormat="1"/>
    <row r="181" s="450" customFormat="1"/>
    <row r="182" s="450" customFormat="1"/>
    <row r="183" s="450" customFormat="1"/>
    <row r="184" s="450" customFormat="1"/>
    <row r="185" s="450" customFormat="1"/>
    <row r="186" s="450" customFormat="1"/>
    <row r="187" s="450" customFormat="1"/>
    <row r="188" s="450" customFormat="1"/>
    <row r="189" s="450" customFormat="1"/>
    <row r="190" s="450" customFormat="1"/>
    <row r="191" s="450" customFormat="1"/>
    <row r="192" s="450" customFormat="1"/>
    <row r="193" s="450" customFormat="1"/>
    <row r="194" s="450" customFormat="1"/>
    <row r="195" s="450" customFormat="1"/>
    <row r="196" s="450" customFormat="1"/>
    <row r="197" s="450" customFormat="1"/>
    <row r="198" s="450" customFormat="1"/>
    <row r="199" s="450" customFormat="1"/>
    <row r="200" s="450" customFormat="1"/>
    <row r="201" s="450" customFormat="1"/>
    <row r="202" s="450" customFormat="1"/>
    <row r="203" s="450" customFormat="1"/>
    <row r="204" s="450" customFormat="1"/>
    <row r="205" s="450" customFormat="1"/>
    <row r="206" s="450" customFormat="1"/>
    <row r="207" s="450" customFormat="1"/>
    <row r="208" s="450" customFormat="1"/>
    <row r="209" s="450" customFormat="1"/>
    <row r="210" s="450" customFormat="1"/>
    <row r="211" s="450" customFormat="1"/>
    <row r="212" s="450" customFormat="1"/>
    <row r="213" s="450" customFormat="1"/>
    <row r="214" s="450" customFormat="1"/>
    <row r="215" s="450" customFormat="1"/>
    <row r="216" s="450" customFormat="1"/>
    <row r="217" s="450" customFormat="1"/>
    <row r="218" s="450" customFormat="1"/>
    <row r="219" s="450" customFormat="1"/>
    <row r="220" s="450" customFormat="1"/>
    <row r="221" s="450" customFormat="1"/>
    <row r="222" s="450" customFormat="1"/>
    <row r="223" s="450" customFormat="1"/>
    <row r="224" s="450" customFormat="1"/>
    <row r="225" s="450" customFormat="1"/>
    <row r="226" s="450" customFormat="1"/>
    <row r="227" s="450" customFormat="1"/>
    <row r="228" s="450" customFormat="1"/>
    <row r="229" s="450" customFormat="1"/>
    <row r="230" s="450" customFormat="1"/>
    <row r="231" s="450" customFormat="1"/>
    <row r="232" s="450" customFormat="1"/>
    <row r="233" s="450" customFormat="1"/>
    <row r="234" s="450" customFormat="1"/>
    <row r="235" s="450" customFormat="1"/>
    <row r="236" s="450" customFormat="1"/>
    <row r="237" s="450" customFormat="1"/>
    <row r="238" s="450" customFormat="1"/>
    <row r="239" s="450" customFormat="1"/>
    <row r="240" s="450" customFormat="1"/>
    <row r="241" s="450" customFormat="1"/>
    <row r="242" s="450" customFormat="1"/>
    <row r="243" s="450" customFormat="1"/>
    <row r="244" s="450" customFormat="1"/>
    <row r="245" s="450" customFormat="1"/>
    <row r="246" s="450" customFormat="1"/>
    <row r="247" s="450" customFormat="1"/>
    <row r="248" s="450" customFormat="1"/>
    <row r="249" s="450" customFormat="1"/>
    <row r="250" s="450" customFormat="1"/>
    <row r="251" s="450" customFormat="1"/>
    <row r="252" s="450" customFormat="1"/>
    <row r="253" s="450" customFormat="1"/>
    <row r="254" s="450" customFormat="1"/>
    <row r="255" s="450" customFormat="1"/>
    <row r="256" s="450" customFormat="1"/>
    <row r="257" s="450" customFormat="1"/>
    <row r="258" s="450" customFormat="1"/>
    <row r="259" s="450" customFormat="1"/>
    <row r="260" s="450" customFormat="1"/>
    <row r="261" s="450" customFormat="1"/>
    <row r="262" s="450" customFormat="1"/>
    <row r="263" s="450" customFormat="1"/>
    <row r="264" s="450" customFormat="1"/>
    <row r="265" s="450" customFormat="1"/>
    <row r="266" s="450" customFormat="1"/>
    <row r="267" s="450" customFormat="1"/>
    <row r="268" s="450" customFormat="1"/>
    <row r="269" s="450" customFormat="1"/>
    <row r="270" s="450" customFormat="1"/>
    <row r="271" s="450" customFormat="1"/>
    <row r="272" s="450" customFormat="1"/>
    <row r="273" s="450" customFormat="1"/>
    <row r="274" s="450" customFormat="1"/>
    <row r="275" s="450" customFormat="1"/>
    <row r="276" s="450" customFormat="1"/>
    <row r="277" s="450" customFormat="1"/>
    <row r="278" s="450" customFormat="1"/>
    <row r="279" s="450" customFormat="1"/>
    <row r="280" s="450" customFormat="1"/>
    <row r="281" s="450" customFormat="1"/>
    <row r="282" s="450" customFormat="1"/>
    <row r="283" s="450" customFormat="1"/>
    <row r="284" s="450" customFormat="1"/>
    <row r="285" s="450" customFormat="1"/>
    <row r="286" s="450" customFormat="1"/>
    <row r="287" s="450" customFormat="1"/>
    <row r="288" s="450" customFormat="1"/>
    <row r="289" s="450" customFormat="1"/>
    <row r="290" s="450" customFormat="1"/>
    <row r="291" s="450" customFormat="1"/>
    <row r="292" s="450" customFormat="1"/>
    <row r="293" s="450" customFormat="1"/>
    <row r="294" s="450" customFormat="1"/>
    <row r="295" s="450" customFormat="1"/>
    <row r="296" s="450" customFormat="1"/>
    <row r="297" s="450" customFormat="1"/>
    <row r="298" s="450" customFormat="1"/>
    <row r="299" s="450" customFormat="1"/>
    <row r="300" s="450" customFormat="1"/>
    <row r="301" s="450" customFormat="1"/>
    <row r="302" s="450" customFormat="1"/>
    <row r="303" s="450" customFormat="1"/>
    <row r="304" s="450" customFormat="1"/>
    <row r="305" s="450" customFormat="1"/>
    <row r="306" s="450" customFormat="1"/>
    <row r="307" s="450" customFormat="1"/>
    <row r="308" s="450" customFormat="1"/>
    <row r="309" s="450" customFormat="1"/>
    <row r="310" s="450" customFormat="1"/>
    <row r="311" s="450" customFormat="1"/>
    <row r="312" s="450" customFormat="1"/>
    <row r="313" s="450" customFormat="1"/>
    <row r="314" s="450" customFormat="1"/>
    <row r="315" s="450" customFormat="1"/>
    <row r="316" s="450" customFormat="1"/>
    <row r="317" s="450" customFormat="1"/>
    <row r="318" s="450" customFormat="1"/>
    <row r="319" s="450" customFormat="1"/>
    <row r="320" s="450" customFormat="1"/>
    <row r="321" s="450" customFormat="1"/>
    <row r="322" s="450" customFormat="1"/>
    <row r="323" s="450" customFormat="1"/>
    <row r="324" s="450" customFormat="1"/>
    <row r="325" s="450" customFormat="1"/>
    <row r="326" s="450" customFormat="1"/>
    <row r="327" s="450" customFormat="1"/>
    <row r="328" s="450" customFormat="1"/>
    <row r="329" s="450" customFormat="1"/>
    <row r="330" s="450" customFormat="1"/>
    <row r="331" s="450" customFormat="1"/>
    <row r="332" s="450" customFormat="1"/>
    <row r="333" s="450" customFormat="1"/>
    <row r="334" s="450" customFormat="1"/>
    <row r="335" s="450" customFormat="1"/>
    <row r="336" s="450" customFormat="1"/>
    <row r="337" s="450" customFormat="1"/>
    <row r="338" s="450" customFormat="1"/>
    <row r="339" s="450" customFormat="1"/>
    <row r="340" s="450" customFormat="1"/>
    <row r="341" s="450" customFormat="1"/>
    <row r="342" s="450" customFormat="1"/>
    <row r="343" s="450" customFormat="1"/>
    <row r="344" s="450" customFormat="1"/>
    <row r="345" s="450" customFormat="1"/>
    <row r="346" s="450" customFormat="1"/>
    <row r="347" s="450" customFormat="1"/>
    <row r="348" s="450" customFormat="1"/>
    <row r="349" s="450" customFormat="1"/>
    <row r="350" s="450" customFormat="1"/>
    <row r="351" s="450" customFormat="1"/>
    <row r="352" s="450" customFormat="1"/>
    <row r="353" spans="2:8" s="450" customFormat="1"/>
    <row r="354" spans="2:8" s="450" customFormat="1"/>
    <row r="355" spans="2:8" s="450" customFormat="1"/>
    <row r="356" spans="2:8" s="450" customFormat="1"/>
    <row r="357" spans="2:8" s="450" customFormat="1"/>
    <row r="358" spans="2:8" s="450" customFormat="1"/>
    <row r="359" spans="2:8" s="450" customFormat="1">
      <c r="D359"/>
    </row>
    <row r="360" spans="2:8">
      <c r="B360" s="450"/>
      <c r="C360" s="450"/>
      <c r="E360" s="450"/>
      <c r="F360" s="450"/>
      <c r="G360" s="450"/>
      <c r="H360" s="450"/>
    </row>
  </sheetData>
  <phoneticPr fontId="8" type="noConversion"/>
  <conditionalFormatting sqref="C76:C77">
    <cfRule type="cellIs" dxfId="5" priority="1" operator="lessThan">
      <formula>0</formula>
    </cfRule>
  </conditionalFormatting>
  <dataValidations count="9">
    <dataValidation type="list" allowBlank="1" showInputMessage="1" showErrorMessage="1" sqref="D27 D25" xr:uid="{C2CF9409-A270-DB47-8547-2D1B6985602C}">
      <formula1>$C$22:$D$22</formula1>
    </dataValidation>
    <dataValidation type="whole" allowBlank="1" showInputMessage="1" showErrorMessage="1" errorTitle="Enter a whole number" promptTitle="Enter number of days" prompt="Enter number of days of paid sick leave per year per staff member_x000a_" sqref="D28" xr:uid="{18AE733C-7F46-9946-ACAB-7914FD730588}">
      <formula1>0</formula1>
      <formula2>100</formula2>
    </dataValidation>
    <dataValidation allowBlank="1" showInputMessage="1" showErrorMessage="1" promptTitle="Enter number of days " prompt="Enter number of days paid leave offered to staff per year (not including holidays where program is closed)" sqref="D29" xr:uid="{38DE5AB1-75D8-9E49-87E4-584A9244F140}"/>
    <dataValidation type="list" allowBlank="1" showInputMessage="1" showErrorMessage="1" sqref="G3" xr:uid="{288D963A-4F40-9549-9E88-550E7FA9FA68}">
      <formula1>$I$3</formula1>
    </dataValidation>
    <dataValidation allowBlank="1" showDropDown="1" showInputMessage="1" showErrorMessage="1" sqref="D24" xr:uid="{B6058394-7B71-AB45-885C-0031A86809C1}"/>
    <dataValidation type="list" allowBlank="1" showInputMessage="1" showErrorMessage="1" sqref="G2" xr:uid="{3144886A-8CEE-5A4C-B6ED-32A3B8AC0C01}">
      <formula1>$I$2:$L$2</formula1>
    </dataValidation>
    <dataValidation type="list" allowBlank="1" showInputMessage="1" showErrorMessage="1" sqref="D23" xr:uid="{2C2C1AE1-8333-5F4B-93CF-155C11B4DA26}">
      <formula1>$I$23:$O$23</formula1>
    </dataValidation>
    <dataValidation type="list" allowBlank="1" showInputMessage="1" showErrorMessage="1" sqref="C16" xr:uid="{6531F0FA-A406-104F-ABCE-8D36F9069EDB}">
      <formula1>$E$16:$F$16</formula1>
    </dataValidation>
    <dataValidation type="list" allowBlank="1" showInputMessage="1" showErrorMessage="1" sqref="C17" xr:uid="{2D44ED55-CEEA-DF4D-A8E4-75B9D6A2694F}">
      <formula1>$E$17:$G$17</formula1>
    </dataValidation>
  </dataValidations>
  <pageMargins left="0.25" right="0.25" top="0.25" bottom="0.25" header="0.05" footer="0.05"/>
  <pageSetup scale="75" orientation="landscape" horizontalDpi="4294967293" r:id="rId1"/>
  <headerFooter alignWithMargins="0">
    <oddFooter>&amp;CDRAFT - Not for Distribution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-0.499984740745262"/>
  </sheetPr>
  <dimension ref="A1:AB75"/>
  <sheetViews>
    <sheetView topLeftCell="A13" zoomScale="140" zoomScaleNormal="140" workbookViewId="0">
      <selection activeCell="D63" sqref="D63"/>
    </sheetView>
  </sheetViews>
  <sheetFormatPr baseColWidth="10" defaultColWidth="8.83203125" defaultRowHeight="13"/>
  <cols>
    <col min="1" max="1" width="11" customWidth="1"/>
    <col min="2" max="2" width="44.5" customWidth="1"/>
    <col min="3" max="3" width="11.1640625" customWidth="1"/>
    <col min="4" max="4" width="12.6640625" customWidth="1"/>
    <col min="5" max="5" width="11.1640625" customWidth="1"/>
    <col min="6" max="6" width="12" customWidth="1"/>
    <col min="7" max="7" width="11.83203125" customWidth="1"/>
    <col min="8" max="8" width="13.1640625" customWidth="1"/>
    <col min="9" max="9" width="16.83203125" customWidth="1"/>
    <col min="10" max="10" width="9.83203125" customWidth="1"/>
    <col min="11" max="11" width="13.33203125" customWidth="1"/>
    <col min="12" max="12" width="13.5" customWidth="1"/>
    <col min="13" max="13" width="12.83203125" customWidth="1"/>
    <col min="14" max="14" width="10.5" customWidth="1"/>
    <col min="15" max="15" width="13.1640625" customWidth="1"/>
    <col min="16" max="16" width="9.6640625" customWidth="1"/>
    <col min="17" max="17" width="9.33203125" customWidth="1"/>
    <col min="18" max="19" width="11.5" customWidth="1"/>
    <col min="23" max="23" width="11.83203125" customWidth="1"/>
    <col min="24" max="24" width="14.1640625" customWidth="1"/>
    <col min="25" max="26" width="16.1640625" customWidth="1"/>
    <col min="27" max="27" width="15" customWidth="1"/>
    <col min="28" max="28" width="10.6640625" bestFit="1" customWidth="1"/>
  </cols>
  <sheetData>
    <row r="1" spans="1:28" ht="16.5" customHeight="1">
      <c r="A1" s="2" t="s">
        <v>74</v>
      </c>
      <c r="B1" s="37"/>
      <c r="C1" s="2"/>
      <c r="D1" s="2"/>
      <c r="E1" s="2" t="str">
        <f>RatioOpt</f>
        <v>Licensing/Star 2</v>
      </c>
      <c r="F1" s="2"/>
      <c r="G1" s="2"/>
    </row>
    <row r="2" spans="1:28">
      <c r="A2" s="5"/>
      <c r="B2" s="5" t="s">
        <v>75</v>
      </c>
      <c r="E2" s="3"/>
      <c r="F2" t="s">
        <v>76</v>
      </c>
    </row>
    <row r="3" spans="1:28">
      <c r="A3" s="5"/>
      <c r="B3" s="5" t="s">
        <v>77</v>
      </c>
      <c r="E3" s="27"/>
      <c r="F3" t="s">
        <v>78</v>
      </c>
    </row>
    <row r="4" spans="1:28">
      <c r="A4" s="23" t="s">
        <v>79</v>
      </c>
      <c r="B4" s="24"/>
      <c r="C4" s="24"/>
      <c r="D4" s="24"/>
      <c r="E4" s="24"/>
      <c r="F4" s="24"/>
      <c r="G4" s="24"/>
      <c r="H4" s="26"/>
      <c r="I4" s="26"/>
    </row>
    <row r="5" spans="1:28" ht="14" thickBot="1">
      <c r="K5" s="192" t="s">
        <v>80</v>
      </c>
      <c r="L5" s="5"/>
      <c r="M5" s="5"/>
      <c r="N5" s="5"/>
      <c r="O5" s="5"/>
      <c r="P5" s="5"/>
    </row>
    <row r="6" spans="1:28" ht="25.5" customHeight="1">
      <c r="B6" s="2" t="s">
        <v>18</v>
      </c>
      <c r="C6" t="s">
        <v>81</v>
      </c>
      <c r="D6" s="9" t="s">
        <v>0</v>
      </c>
      <c r="E6" s="29" t="s">
        <v>82</v>
      </c>
      <c r="F6" t="s">
        <v>83</v>
      </c>
      <c r="H6" s="86" t="s">
        <v>84</v>
      </c>
      <c r="I6" s="2" t="s">
        <v>85</v>
      </c>
      <c r="J6" s="20"/>
      <c r="K6" s="193" t="s">
        <v>86</v>
      </c>
      <c r="L6" s="193" t="s">
        <v>87</v>
      </c>
      <c r="M6" s="193" t="s">
        <v>88</v>
      </c>
      <c r="N6" s="193" t="s">
        <v>89</v>
      </c>
      <c r="O6" s="193" t="s">
        <v>90</v>
      </c>
      <c r="P6" s="430" t="s">
        <v>91</v>
      </c>
      <c r="Q6" s="430" t="s">
        <v>92</v>
      </c>
      <c r="R6" s="430" t="s">
        <v>93</v>
      </c>
      <c r="S6" s="193" t="s">
        <v>94</v>
      </c>
      <c r="T6" s="193" t="s">
        <v>95</v>
      </c>
      <c r="U6" s="193" t="s">
        <v>96</v>
      </c>
      <c r="V6" s="193" t="s">
        <v>21</v>
      </c>
      <c r="W6" s="193" t="s">
        <v>97</v>
      </c>
      <c r="X6" s="223" t="s">
        <v>98</v>
      </c>
      <c r="Y6" s="226" t="s">
        <v>99</v>
      </c>
      <c r="Z6" s="330"/>
      <c r="AA6" s="229" t="s">
        <v>100</v>
      </c>
    </row>
    <row r="7" spans="1:28" ht="17" customHeight="1">
      <c r="A7">
        <f>C7*F7</f>
        <v>12</v>
      </c>
      <c r="B7" s="29" t="str">
        <f>'VariablesINPUT-CTR'!D8</f>
        <v>Infants</v>
      </c>
      <c r="C7" s="210">
        <f>'VariablesINPUT-CTR'!F8</f>
        <v>12</v>
      </c>
      <c r="D7" s="211">
        <f>'VariablesINPUT-CTR'!E8</f>
        <v>6</v>
      </c>
      <c r="E7" s="17">
        <f>IF(Infants&gt;0,(ROUND(SUM(Infants/D7),1)),"0")</f>
        <v>2</v>
      </c>
      <c r="F7" s="327">
        <f>'VariablesINPUT-CTR'!G8</f>
        <v>1</v>
      </c>
      <c r="G7" s="29" t="str">
        <f>B7</f>
        <v>Infants</v>
      </c>
      <c r="H7" s="36">
        <f>AA7</f>
        <v>14896.236705681316</v>
      </c>
      <c r="I7" s="439">
        <f>H7/12</f>
        <v>1241.3530588067763</v>
      </c>
      <c r="J7" s="33"/>
      <c r="K7" s="212">
        <f>Admin_Staff/TotalChildren</f>
        <v>1316.9784541963636</v>
      </c>
      <c r="L7" s="212">
        <f>IF(Infants&gt;0,(SUM((D23/A23)*F7,((E7-F7)*(D24/A24)))/Infants),"0")</f>
        <v>6195.0199999999995</v>
      </c>
      <c r="M7" s="212">
        <f>IF(Infants&gt;0,(SUM(D$27:D$28))/TotalClassrooms/Infants*InfantClassrooms,"0")</f>
        <v>832</v>
      </c>
      <c r="N7" s="212">
        <f>SUM(MandatoryBenefits,AdditionalBenefits)/TotalChildren</f>
        <v>1302.2674772463852</v>
      </c>
      <c r="O7" s="212">
        <f>IF(Infants&gt;0,(Subs/TotalClassrooms/Infants*InfantClassrooms),"0")</f>
        <v>518</v>
      </c>
      <c r="P7" s="215">
        <f>NP_EdProgram/TotalChildren</f>
        <v>1470.2712563636364</v>
      </c>
      <c r="Q7" s="215">
        <f>IF(Infants&gt;0,(NP_Occupancy/TotalClassrooms/Infants*InfantClassrooms),"0")</f>
        <v>1946.4180555555552</v>
      </c>
      <c r="R7" s="215">
        <f>NP_MgtAdmin/TotalChildren</f>
        <v>120.83900984615384</v>
      </c>
      <c r="S7" s="215">
        <v>0</v>
      </c>
      <c r="T7" s="216">
        <f>IF(Infants&gt;0,(SUM(D$53/TotalClassrooms)/Infants),"0")</f>
        <v>0</v>
      </c>
      <c r="U7" s="216">
        <f>D$56/TotalChildren</f>
        <v>462.38742494520926</v>
      </c>
      <c r="V7" s="216">
        <f>SUM((GRT-D$73)/TotalChildren)</f>
        <v>109.88572450909086</v>
      </c>
      <c r="W7" s="194">
        <f>SUM(K7:V7)</f>
        <v>14274.067402662395</v>
      </c>
      <c r="X7" s="224">
        <f>W7*Infants</f>
        <v>171288.80883194873</v>
      </c>
      <c r="Y7" s="227">
        <f>A7/SUM(TotalChildren-Schoolagers)*Y11</f>
        <v>7466.0316362270687</v>
      </c>
      <c r="Z7" s="33">
        <f>SUM(X7:Y7)</f>
        <v>178754.8404681758</v>
      </c>
      <c r="AA7" s="230">
        <f>IF(Infants&gt;0,(Z7/Infants),"0")</f>
        <v>14896.236705681316</v>
      </c>
    </row>
    <row r="8" spans="1:28" ht="16" customHeight="1">
      <c r="A8">
        <f>C8*F8</f>
        <v>20</v>
      </c>
      <c r="B8" s="29" t="str">
        <f>'VariablesINPUT-CTR'!D9</f>
        <v>Two-year-olds</v>
      </c>
      <c r="C8" s="210">
        <f>'VariablesINPUT-CTR'!F9</f>
        <v>20</v>
      </c>
      <c r="D8" s="211">
        <f>'VariablesINPUT-CTR'!E9</f>
        <v>10</v>
      </c>
      <c r="E8" s="17">
        <f>IF(Toddlers&gt;0,(ROUND(SUM(Toddlers/D8),1)),"0")</f>
        <v>2</v>
      </c>
      <c r="F8" s="327">
        <f>'VariablesINPUT-CTR'!G9</f>
        <v>1</v>
      </c>
      <c r="G8" s="29" t="str">
        <f>B8</f>
        <v>Two-year-olds</v>
      </c>
      <c r="H8" s="36">
        <f t="shared" ref="H8:H11" si="0">AA8</f>
        <v>11099.661483459096</v>
      </c>
      <c r="I8" s="439">
        <f>H8/12</f>
        <v>924.97179028825803</v>
      </c>
      <c r="J8" s="72"/>
      <c r="K8" s="212">
        <f>Admin_Staff/TotalChildren</f>
        <v>1316.9784541963636</v>
      </c>
      <c r="L8" s="212">
        <f>IF(Toddlers&gt;0,(SUM((D23/A23)*F8,((E8-F8)*(D24/A24)))/Toddlers),"0")</f>
        <v>3717.0119999999997</v>
      </c>
      <c r="M8" s="212">
        <f>IF(Toddlers&gt;0,(SUM(D$27:D$28))/TotalClassrooms/Toddlers*ToddlerClassrooms,"0")</f>
        <v>499.2</v>
      </c>
      <c r="N8" s="212">
        <f>SUM(MandatoryBenefits,AdditionalBenefits)/TotalChildren</f>
        <v>1302.2674772463852</v>
      </c>
      <c r="O8" s="212">
        <f>IF(Toddlers&gt;0,(Subs/TotalClassrooms/Toddlers*ToddlerClassrooms),"0")</f>
        <v>310.8</v>
      </c>
      <c r="P8" s="215">
        <f>NP_EdProgram/TotalChildren</f>
        <v>1470.2712563636364</v>
      </c>
      <c r="Q8" s="215">
        <f>IF(Toddlers&gt;0,(NP_Occupancy/TotalClassrooms/Toddlers*ToddlerClassrooms),"0")</f>
        <v>1167.8508333333332</v>
      </c>
      <c r="R8" s="215">
        <f>NP_MgtAdmin/TotalChildren</f>
        <v>120.83900984615384</v>
      </c>
      <c r="S8" s="215">
        <v>0</v>
      </c>
      <c r="T8" s="216">
        <f>IF(Toddlers&gt;0,(SUM(D$53/TotalClassrooms)/Toddlers),"0")</f>
        <v>0</v>
      </c>
      <c r="U8" s="216">
        <f>D$56/TotalChildren</f>
        <v>462.38742494520926</v>
      </c>
      <c r="V8" s="216">
        <f>SUM((GRT-D$73)/TotalChildren)</f>
        <v>109.88572450909086</v>
      </c>
      <c r="W8" s="194">
        <f>SUM(K8:V8)</f>
        <v>10477.492180440173</v>
      </c>
      <c r="X8" s="224">
        <f>W8*Toddlers</f>
        <v>209549.84360880347</v>
      </c>
      <c r="Y8" s="227">
        <f>A8/SUM(TotalChildren-Schoolagers)*Y11</f>
        <v>12443.386060378449</v>
      </c>
      <c r="Z8" s="33">
        <f>SUM(X8:Y8)</f>
        <v>221993.22966918192</v>
      </c>
      <c r="AA8" s="230">
        <f>IF(Toddlers&gt;0,(Z8/Toddlers),"0")</f>
        <v>11099.661483459096</v>
      </c>
    </row>
    <row r="9" spans="1:28" ht="14" customHeight="1">
      <c r="A9">
        <f>C9*F9</f>
        <v>24</v>
      </c>
      <c r="B9" s="29" t="str">
        <f>'VariablesINPUT-CTR'!D10</f>
        <v>Three-year-olds</v>
      </c>
      <c r="C9" s="210">
        <f>'VariablesINPUT-CTR'!F10</f>
        <v>24</v>
      </c>
      <c r="D9" s="211">
        <f>'VariablesINPUT-CTR'!E10</f>
        <v>12</v>
      </c>
      <c r="E9" s="17">
        <f>IF(Preschoolers&gt;0,(ROUND(SUM(Preschoolers/D9),1)),"0")</f>
        <v>2</v>
      </c>
      <c r="F9" s="327">
        <f>'VariablesINPUT-CTR'!G10</f>
        <v>1</v>
      </c>
      <c r="G9" s="29" t="str">
        <f>B9</f>
        <v>Three-year-olds</v>
      </c>
      <c r="H9" s="36">
        <f t="shared" si="0"/>
        <v>10150.517677903537</v>
      </c>
      <c r="I9" s="439">
        <f>H9/12</f>
        <v>845.87647315862807</v>
      </c>
      <c r="J9" s="72"/>
      <c r="K9" s="212">
        <f>Admin_Staff/TotalChildren</f>
        <v>1316.9784541963636</v>
      </c>
      <c r="L9" s="212">
        <f>IF(Pre3Children&gt;0,(SUM((D23/A23)*F9,((E9-F9)*(D24/A24)))/Pre3Children),"0")</f>
        <v>3097.5099999999998</v>
      </c>
      <c r="M9" s="212">
        <f>IF(Pre3Children&gt;0,(SUM(D$27:D$28))/TotalClassrooms/Pre3Children*PreschoolersClassroom,"0")</f>
        <v>416</v>
      </c>
      <c r="N9" s="212">
        <f>SUM(MandatoryBenefits,AdditionalBenefits)/TotalChildren</f>
        <v>1302.2674772463852</v>
      </c>
      <c r="O9" s="212">
        <f>IF(Pre3Children&gt;0,(Subs/TotalClassrooms/Pre3Children*PreschoolersClassroom),"0")</f>
        <v>259</v>
      </c>
      <c r="P9" s="215">
        <f>NP_EdProgram/TotalChildren</f>
        <v>1470.2712563636364</v>
      </c>
      <c r="Q9" s="215">
        <f>IF(Pre3Children&gt;0,(NP_Occupancy/TotalClassrooms/Pre3Children*PreschoolersClassroom),"0")</f>
        <v>973.20902777777758</v>
      </c>
      <c r="R9" s="215">
        <f>NP_MgtAdmin/TotalChildren</f>
        <v>120.83900984615384</v>
      </c>
      <c r="S9" s="215">
        <v>0</v>
      </c>
      <c r="T9" s="216">
        <f>IF(Pre3Children&gt;0,(SUM(D$53/TotalClassrooms)/Pre3Children),"0")</f>
        <v>0</v>
      </c>
      <c r="U9" s="216">
        <f>D$56/TotalChildren</f>
        <v>462.38742494520926</v>
      </c>
      <c r="V9" s="216">
        <f>SUM((GRT-D$73)/TotalChildren)</f>
        <v>109.88572450909086</v>
      </c>
      <c r="W9" s="194">
        <f>SUM(K9:V9)</f>
        <v>9528.3483748846156</v>
      </c>
      <c r="X9" s="224">
        <f>W9*Pre3Children</f>
        <v>228680.36099723077</v>
      </c>
      <c r="Y9" s="227">
        <f>A9/SUM(TotalChildren-Schoolagers)*Y11</f>
        <v>14932.063272454137</v>
      </c>
      <c r="Z9" s="33">
        <f>SUM(X9:Y9)</f>
        <v>243612.42426968491</v>
      </c>
      <c r="AA9" s="230">
        <f>IF(Pre3Children&gt;0,(Z9/Pre3Children),"0")</f>
        <v>10150.517677903537</v>
      </c>
    </row>
    <row r="10" spans="1:28" ht="14" customHeight="1">
      <c r="A10">
        <f>C10*F10</f>
        <v>24</v>
      </c>
      <c r="B10" s="29" t="str">
        <f>'VariablesINPUT-CTR'!D11</f>
        <v>Four-year-olds</v>
      </c>
      <c r="C10" s="210">
        <f>'VariablesINPUT-CTR'!F11</f>
        <v>24</v>
      </c>
      <c r="D10" s="211">
        <f>'VariablesINPUT-CTR'!E11</f>
        <v>12</v>
      </c>
      <c r="E10" s="17">
        <f>IF(Pre4Children&gt;0,(ROUND(SUM(Pre4Children/D10),1)),"0")</f>
        <v>2</v>
      </c>
      <c r="F10" s="327">
        <f>'VariablesINPUT-CTR'!G11</f>
        <v>1</v>
      </c>
      <c r="G10" s="29" t="str">
        <f>B10</f>
        <v>Four-year-olds</v>
      </c>
      <c r="H10" s="36">
        <f t="shared" si="0"/>
        <v>10150.517677903537</v>
      </c>
      <c r="I10" s="439">
        <f>H10/12</f>
        <v>845.87647315862807</v>
      </c>
      <c r="J10" s="72"/>
      <c r="K10" s="212">
        <f>Admin_Staff/TotalChildren</f>
        <v>1316.9784541963636</v>
      </c>
      <c r="L10" s="212">
        <f>IF(Pre4Children&gt;0,(SUM((D23/A23)*F10,((E10-F10)*(D24/A24)))/Pre4Children),"0")</f>
        <v>3097.5099999999998</v>
      </c>
      <c r="M10" s="212">
        <f>IF(Pre4Children&gt;0,(SUM(D$27:D$28))/TotalClassrooms/Pre4Children*Pre4classroom,"0")</f>
        <v>416</v>
      </c>
      <c r="N10" s="212">
        <f>IF(Pre4Children&gt;0,(SUM(MandatoryBenefits,AdditionalBenefits)/TotalChildren),"0")</f>
        <v>1302.2674772463852</v>
      </c>
      <c r="O10" s="212">
        <f>IF(Pre4Children&gt;0,(Subs/TotalClassrooms/Pre4Children*Pre4classroom),"0")</f>
        <v>259</v>
      </c>
      <c r="P10" s="215">
        <f>NP_EdProgram/TotalChildren</f>
        <v>1470.2712563636364</v>
      </c>
      <c r="Q10" s="215">
        <f>IF(Pre4Children&gt;0,(NP_Occupancy/TotalClassrooms/Pre4Children*Pre4classroom),"0")</f>
        <v>973.20902777777758</v>
      </c>
      <c r="R10" s="215">
        <f>NP_MgtAdmin/TotalChildren</f>
        <v>120.83900984615384</v>
      </c>
      <c r="S10" s="215">
        <v>0</v>
      </c>
      <c r="T10" s="216">
        <f>IF(Pre4Children&gt;0,(SUM(D$53/TotalClassrooms)/Pre4Children),"0")</f>
        <v>0</v>
      </c>
      <c r="U10" s="216">
        <f>D$56/TotalChildren</f>
        <v>462.38742494520926</v>
      </c>
      <c r="V10" s="216">
        <f>SUM((GRT-D$73)/TotalChildren)</f>
        <v>109.88572450909086</v>
      </c>
      <c r="W10" s="194">
        <f>SUM(K10:V10)</f>
        <v>9528.3483748846156</v>
      </c>
      <c r="X10" s="224">
        <f>W10*Pre4Children</f>
        <v>228680.36099723077</v>
      </c>
      <c r="Y10" s="227">
        <f>A10/SUM(TotalChildren-Schoolagers)*Y11</f>
        <v>14932.063272454137</v>
      </c>
      <c r="Z10" s="33">
        <f>SUM(X10:Y10)</f>
        <v>243612.42426968491</v>
      </c>
      <c r="AA10" s="230">
        <f>IF(Pre4Children&gt;0,Z10/Pre4Children,"0")</f>
        <v>10150.517677903537</v>
      </c>
    </row>
    <row r="11" spans="1:28" ht="14" customHeight="1">
      <c r="A11">
        <f>C11*F11</f>
        <v>30</v>
      </c>
      <c r="B11" s="29" t="str">
        <f>'VariablesINPUT-CTR'!D12</f>
        <v>School age</v>
      </c>
      <c r="C11" s="210">
        <f>'VariablesINPUT-CTR'!F12</f>
        <v>30</v>
      </c>
      <c r="D11" s="211">
        <f>'VariablesINPUT-CTR'!E12</f>
        <v>15</v>
      </c>
      <c r="E11" s="17">
        <f>IF(Schoolagers&gt;0,(ROUNDUP(SUM(Schoolagers/D11),0)),"0")</f>
        <v>2</v>
      </c>
      <c r="F11" s="327">
        <f>'VariablesINPUT-CTR'!G12</f>
        <v>1</v>
      </c>
      <c r="G11" s="29" t="str">
        <f>B11</f>
        <v>School age</v>
      </c>
      <c r="H11" s="36">
        <f t="shared" si="0"/>
        <v>6407.6487547568622</v>
      </c>
      <c r="I11" s="439">
        <f>H11/12</f>
        <v>533.97072956307181</v>
      </c>
      <c r="J11" s="72"/>
      <c r="K11" s="212">
        <f>(Admin_Staff/TotalChildren)</f>
        <v>1316.9784541963636</v>
      </c>
      <c r="L11" s="212">
        <f>IF(Schoolagers&gt;0,(SUM((D25/A25)*F11,((E11-F11)*(D26/A26)))/Schoolagers),"0")</f>
        <v>1486.8048000000001</v>
      </c>
      <c r="M11" s="212">
        <f>IF(Schoolagers&gt;0,(SUM(D$27:D$28))/TotalClassrooms/Schoolagers*SchoolageClassroom,"0")</f>
        <v>332.8</v>
      </c>
      <c r="N11" s="212">
        <f>IF(Schoolagers&gt;0,(SUM(MandatoryBenefits,AdditionalBenefits)/TotalChildren),"0")</f>
        <v>1302.2674772463852</v>
      </c>
      <c r="O11" s="212">
        <f>IF(Schoolagers&gt;0,(Subs/TotalClassrooms/Schoolagers*SchoolageClassroom),"0")</f>
        <v>207.2</v>
      </c>
      <c r="P11" s="215">
        <f>SUM(NP_EdProgram/TotalChildren)</f>
        <v>1470.2712563636364</v>
      </c>
      <c r="Q11" s="215">
        <f>IF(Schoolagers&gt;0,(NP_Occupancy/TotalClassrooms/Schoolagers*SchoolageClassroom),"0")</f>
        <v>778.56722222222209</v>
      </c>
      <c r="R11" s="215">
        <f>(NP_MgtAdmin/TotalChildren)</f>
        <v>120.83900984615384</v>
      </c>
      <c r="S11" s="215">
        <f>IF(Schoolagers&gt;0,(D52/Schoolagers),0)</f>
        <v>478.76552681159421</v>
      </c>
      <c r="T11" s="216">
        <f>IF(Schoolagers&gt;0,(SUM(D$53/TotalClassrooms)/Schoolagers),"0")</f>
        <v>0</v>
      </c>
      <c r="U11" s="216">
        <f>D$56/TotalChildren</f>
        <v>462.38742494520926</v>
      </c>
      <c r="V11" s="216">
        <f>SUM((GRT-D$73)/TotalChildren)</f>
        <v>109.88572450909086</v>
      </c>
      <c r="W11" s="194">
        <f>SUM(K11:V11)</f>
        <v>8066.7668961406553</v>
      </c>
      <c r="X11" s="224">
        <f>W11*Schoolagers</f>
        <v>242003.00688421965</v>
      </c>
      <c r="Y11" s="224">
        <f>X11-Z11</f>
        <v>49773.544241513795</v>
      </c>
      <c r="Z11" s="33">
        <f>(SUM(K11,N11,M11:R11,T11:V11)*Schoolagers*60%)+(SUM(L11,S11)*Schoolagers)</f>
        <v>192229.46264270585</v>
      </c>
      <c r="AA11" s="230">
        <f>IF(Schoolagers&gt;0,(Z11/Schoolagers),"0")</f>
        <v>6407.6487547568622</v>
      </c>
      <c r="AB11" s="29" t="s">
        <v>101</v>
      </c>
    </row>
    <row r="12" spans="1:28" ht="14" customHeight="1" thickBot="1">
      <c r="A12" s="51">
        <f>SUM(A7:A11)</f>
        <v>110</v>
      </c>
      <c r="B12" s="78"/>
      <c r="C12" s="79"/>
      <c r="D12" s="80"/>
      <c r="E12" s="196">
        <f>SUM(E7:E11)</f>
        <v>10</v>
      </c>
      <c r="F12" s="51">
        <f>SUM(F7:F11)</f>
        <v>5</v>
      </c>
      <c r="H12" s="11"/>
      <c r="I12" s="29"/>
      <c r="J12" s="33"/>
      <c r="K12" s="195">
        <f t="shared" ref="K12:U12" si="1">SUM(K7*Infants,K8*Toddlers,K9*Pre3Children,K10*Pre4Children,K11*Schoolagers)</f>
        <v>144867.6299616</v>
      </c>
      <c r="L12" s="195">
        <f>SUM(L7*Infants,L8*Toddlers,L9*Pre3Children,L10*Pre4Children,L11*Schoolagers)</f>
        <v>341965.10399999993</v>
      </c>
      <c r="M12" s="195">
        <f t="shared" si="1"/>
        <v>49920</v>
      </c>
      <c r="N12" s="195">
        <f t="shared" si="1"/>
        <v>143249.42249710235</v>
      </c>
      <c r="O12" s="195">
        <f t="shared" si="1"/>
        <v>31080</v>
      </c>
      <c r="P12" s="195">
        <f t="shared" si="1"/>
        <v>161729.8382</v>
      </c>
      <c r="Q12" s="195">
        <f t="shared" si="1"/>
        <v>116785.08333333331</v>
      </c>
      <c r="R12" s="195">
        <f t="shared" si="1"/>
        <v>13292.291083076921</v>
      </c>
      <c r="S12" s="195">
        <f t="shared" si="1"/>
        <v>14362.965804347827</v>
      </c>
      <c r="T12" s="195">
        <f t="shared" si="1"/>
        <v>0</v>
      </c>
      <c r="U12" s="195">
        <f t="shared" si="1"/>
        <v>50862.61674397302</v>
      </c>
      <c r="V12" s="195">
        <f>SUM(V7*Infants,V8*Toddlers,V9*Pre3Children,V10*Pre4Children,V11*Schoolagers)</f>
        <v>12087.429695999996</v>
      </c>
      <c r="W12" s="195">
        <f>SUM(W7*Infants,W8*Toddlers,W9*Pre3Children,W10*Pre4Children,W11*Schoolagers)</f>
        <v>1080202.3813194335</v>
      </c>
      <c r="X12" s="225">
        <f>SUM(X7:X11)</f>
        <v>1080202.3813194335</v>
      </c>
      <c r="Z12" s="225">
        <f>SUM(Z7:Z11)</f>
        <v>1080202.3813194335</v>
      </c>
      <c r="AA12" s="228"/>
    </row>
    <row r="13" spans="1:28" ht="26" customHeight="1">
      <c r="B13" s="29"/>
      <c r="F13" s="329">
        <v>0.2</v>
      </c>
      <c r="G13" s="652" t="s">
        <v>102</v>
      </c>
      <c r="H13" s="652"/>
      <c r="I13" s="652"/>
      <c r="K13" s="63"/>
      <c r="L13" s="203"/>
      <c r="M13" s="203"/>
      <c r="N13" s="74"/>
      <c r="O13" s="15"/>
      <c r="P13" s="29"/>
      <c r="Q13" s="29"/>
      <c r="Z13" s="20"/>
    </row>
    <row r="14" spans="1:28">
      <c r="F14" s="1"/>
      <c r="K14" s="332"/>
      <c r="L14" s="332"/>
      <c r="M14" s="332"/>
      <c r="N14" s="332"/>
      <c r="O14" s="332"/>
      <c r="P14" s="332"/>
      <c r="Q14" s="332"/>
      <c r="R14" s="76"/>
      <c r="S14" s="76"/>
      <c r="T14" s="76"/>
      <c r="U14" s="76"/>
      <c r="V14" s="76"/>
      <c r="W14" s="76"/>
      <c r="X14" s="76"/>
      <c r="Y14" s="76"/>
      <c r="Z14" s="76"/>
      <c r="AA14" s="76"/>
    </row>
    <row r="15" spans="1:28">
      <c r="F15" s="1"/>
      <c r="G15" s="203"/>
      <c r="H15" s="203"/>
      <c r="I15" s="203"/>
      <c r="K15" s="435">
        <v>0</v>
      </c>
      <c r="L15" s="29" t="s">
        <v>423</v>
      </c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Z15" s="20"/>
    </row>
    <row r="16" spans="1:28">
      <c r="B16" s="2" t="s">
        <v>103</v>
      </c>
      <c r="D16" s="19" t="s">
        <v>104</v>
      </c>
      <c r="E16" s="19" t="s">
        <v>105</v>
      </c>
      <c r="G16" s="203"/>
      <c r="H16" s="203"/>
      <c r="I16" s="203"/>
      <c r="J16" s="11"/>
      <c r="K16" s="63"/>
      <c r="L16" s="29"/>
      <c r="M16" s="29"/>
      <c r="N16" s="63"/>
      <c r="O16" s="15"/>
      <c r="P16" s="29"/>
      <c r="Q16" s="29"/>
    </row>
    <row r="17" spans="1:18">
      <c r="A17" s="35">
        <f>SUM(A18:A28)</f>
        <v>14.6</v>
      </c>
      <c r="B17" s="2" t="s">
        <v>106</v>
      </c>
      <c r="C17" s="4"/>
      <c r="E17" s="29" t="s">
        <v>2</v>
      </c>
      <c r="F17" s="300" t="s">
        <v>1</v>
      </c>
      <c r="G17" s="301" t="s">
        <v>3</v>
      </c>
      <c r="H17" s="300" t="s">
        <v>4</v>
      </c>
      <c r="I17" s="38"/>
      <c r="K17" s="29" t="s">
        <v>2</v>
      </c>
      <c r="L17" s="300" t="s">
        <v>1</v>
      </c>
      <c r="M17" s="301" t="s">
        <v>3</v>
      </c>
      <c r="N17" s="300" t="s">
        <v>4</v>
      </c>
      <c r="O17" s="63"/>
      <c r="P17" s="15"/>
      <c r="Q17" s="29"/>
      <c r="R17" s="29"/>
    </row>
    <row r="18" spans="1:18">
      <c r="A18" s="64">
        <f>IF(A12&gt;0,1)</f>
        <v>1</v>
      </c>
      <c r="B18" s="29" t="s">
        <v>107</v>
      </c>
      <c r="C18" s="11"/>
      <c r="D18" s="11">
        <f>IF(E$1="Star 2+/3",(A18*F18+L18),
IF(E$1="Star 4",(A18*G18+M18),
IF(E$1="Star 5",(A18*H18+N18),
(A18*E18+K18))))</f>
        <v>63148.683312000001</v>
      </c>
      <c r="E18" s="362">
        <f>IF(Salary="BLS adj min wage",Wages!B14,
IF(Salary="BLS adj $12.10",Wages!B25,
IF(Salary="Kindergarten Parity",Wages!$E3,
IF(Salary="User added",Wages!$F3,
IF(Salary="$15 min wage",Wages!B35,
IF(Salary="$18 min wage",Wages!B45,IF(Salary="$20 min wage",Wages!B56)))))))</f>
        <v>63148.683312000001</v>
      </c>
      <c r="F18" s="362">
        <f>IF(Salary="BLS adj min wage",Wages!C14,
IF(Salary="BLS adj $12.10",Wages!C25,
IF(Salary="Kindergarten Parity",Wages!$E3,
IF(Salary="User added",Wages!$F3,
IF(Salary="$15 min wage",Wages!C35,
IF(Salary="$18 min wage",Wages!C45,IF(Salary="$20 min wage",Wages!C56)))))))</f>
        <v>63148.683312000001</v>
      </c>
      <c r="G18" s="362">
        <f>IF(Salary="BLS adj min wage",Wages!D14,
IF(Salary="BLS adj $12.10",Wages!D25,
IF(Salary="Kindergarten Parity",Wages!$E3,
IF(Salary="User added",Wages!$F3,
IF(Salary="$15 min wage",Wages!D35,
IF(Salary="$18 min wage",Wages!D45,IF(Salary="$20 min wage",Wages!D56)))))))</f>
        <v>69463.5516432</v>
      </c>
      <c r="H18" s="362">
        <f>IF(Salary="BLS adj min wage",Wages!E14,
IF(Salary="BLS adj $12.10",Wages!E25,
IF(Salary="Kindergarten Parity",Wages!$E3,
IF(Salary="User added",Wages!$F3,
IF(Salary="$15 min wage",Wages!E35,
IF(Salary="$18 min wage",Wages!E45,IF(Salary="$20 min wage",Wages!E56)))))))</f>
        <v>75778.419974399992</v>
      </c>
      <c r="I18" s="38"/>
      <c r="K18" s="362">
        <f>SUM($K$15*E18)</f>
        <v>0</v>
      </c>
      <c r="L18" s="362">
        <f t="shared" ref="L18:N20" si="2">SUM($K$15*F18)</f>
        <v>0</v>
      </c>
      <c r="M18" s="362">
        <f t="shared" si="2"/>
        <v>0</v>
      </c>
      <c r="N18" s="362">
        <f t="shared" si="2"/>
        <v>0</v>
      </c>
      <c r="O18" s="29"/>
      <c r="P18" s="29"/>
      <c r="Q18" s="29"/>
      <c r="R18" s="29"/>
    </row>
    <row r="19" spans="1:18">
      <c r="A19" s="61">
        <f>IF(TotalChildren&lt;30,0.5,1)</f>
        <v>1</v>
      </c>
      <c r="B19" s="29" t="s">
        <v>108</v>
      </c>
      <c r="C19" s="11"/>
      <c r="D19" s="11">
        <f t="shared" ref="D19:D20" si="3">IF(E$1="Star 2+/3",(A19*F19+L19),
IF(E$1="Star 4",(A19*G19+M19),
IF(E$1="Star 5",(A19*H19+N19),
(A19*E19+K19))))</f>
        <v>50518.946649600002</v>
      </c>
      <c r="E19" s="362">
        <f>IF(Salary="BLS adj min wage",Wages!B15,
IF(Salary="BLS adj $12.10",Wages!B26,
IF(Salary="Kindergarten Parity",Wages!$E4,
IF(Salary="User added",Wages!$F4,
IF(Salary="$15 min wage",Wages!B36,
IF(Salary="$18 min wage",Wages!B46,IF(Salary="$20 min wage",Wages!B57)))))))</f>
        <v>50518.946649600002</v>
      </c>
      <c r="F19" s="362">
        <f>IF(Salary="BLS adj min wage",Wages!C15,
IF(Salary="BLS adj $12.10",Wages!C26,
IF(Salary="Kindergarten Parity",Wages!$E4,
IF(Salary="User added",Wages!$F4,
IF(Salary="$15 min wage",Wages!C36,
IF(Salary="$18 min wage",Wages!C46,IF(Salary="$20 min wage",Wages!C57)))))))</f>
        <v>50518.946649600002</v>
      </c>
      <c r="G19" s="362">
        <f>IF(Salary="BLS adj min wage",Wages!D15,
IF(Salary="BLS adj $12.10",Wages!D26,
IF(Salary="Kindergarten Parity",Wages!$E4,
IF(Salary="User added",Wages!$F4,
IF(Salary="$15 min wage",Wages!D36,
IF(Salary="$18 min wage",Wages!D46,IF(Salary="$20 min wage",Wages!D57)))))))</f>
        <v>55570.841314560006</v>
      </c>
      <c r="H19" s="362">
        <f>IF(Salary="BLS adj min wage",Wages!E15,
IF(Salary="BLS adj $12.10",Wages!E26,
IF(Salary="Kindergarten Parity",Wages!$E4,
IF(Salary="User added",Wages!$F4,
IF(Salary="$15 min wage",Wages!E36,
IF(Salary="$18 min wage",Wages!E46,IF(Salary="$20 min wage",Wages!E57)))))))</f>
        <v>60622.735979520003</v>
      </c>
      <c r="I19" s="38"/>
      <c r="K19" s="362">
        <f t="shared" ref="K19:K20" si="4">SUM($K$15*E19)</f>
        <v>0</v>
      </c>
      <c r="L19" s="362">
        <f t="shared" si="2"/>
        <v>0</v>
      </c>
      <c r="M19" s="362">
        <f t="shared" si="2"/>
        <v>0</v>
      </c>
      <c r="N19" s="362">
        <f t="shared" si="2"/>
        <v>0</v>
      </c>
    </row>
    <row r="20" spans="1:18">
      <c r="A20" s="61">
        <f>IF(TotalChildren&lt;30,0.5,1)</f>
        <v>1</v>
      </c>
      <c r="B20" s="29" t="s">
        <v>109</v>
      </c>
      <c r="C20" s="11"/>
      <c r="D20" s="11">
        <f t="shared" si="3"/>
        <v>31200</v>
      </c>
      <c r="E20" s="362">
        <f>IF(Salary="BLS adj min wage",Wages!B16,
IF(Salary="BLS adj $12.10",Wages!B27,
IF(Salary="Kindergarten Parity",Wages!$E5,
IF(Salary="User added",Wages!$F5,
IF(Salary="$15 min wage",Wages!B37,
IF(Salary="$18 min wage",Wages!B47,IF(Salary="$20 min wage",Wages!B58)))))))</f>
        <v>31200</v>
      </c>
      <c r="F20" s="362">
        <f>IF(Salary="BLS adj min wage",Wages!C16,
IF(Salary="BLS adj $12.10",Wages!C27,
IF(Salary="Kindergarten Parity",Wages!$E5,
IF(Salary="User added",Wages!$F5,
IF(Salary="$15 min wage",Wages!C37,
IF(Salary="$18 min wage",Wages!C47,IF(Salary="$20 min wage",Wages!C58)))))))</f>
        <v>31200</v>
      </c>
      <c r="G20" s="362">
        <f>IF(Salary="BLS adj min wage",Wages!D16,
IF(Salary="BLS adj $12.10",Wages!D27,
IF(Salary="Kindergarten Parity",Wages!$E5,
IF(Salary="User added",Wages!$F5,
IF(Salary="$15 min wage",Wages!D37,
IF(Salary="$18 min wage",Wages!D47,IF(Salary="$20 min wage",Wages!D58)))))))</f>
        <v>34320</v>
      </c>
      <c r="H20" s="362">
        <f>IF(Salary="BLS adj min wage",Wages!E16,
IF(Salary="BLS adj $12.10",Wages!E27,
IF(Salary="Kindergarten Parity",Wages!$E5,
IF(Salary="User added",Wages!$F5,
IF(Salary="$15 min wage",Wages!E37,
IF(Salary="$18 min wage",Wages!E47,IF(Salary="$20 min wage",Wages!E58)))))))</f>
        <v>37440</v>
      </c>
      <c r="I20" s="38"/>
      <c r="K20" s="362">
        <f t="shared" si="4"/>
        <v>0</v>
      </c>
      <c r="L20" s="362">
        <f t="shared" si="2"/>
        <v>0</v>
      </c>
      <c r="M20" s="362">
        <f t="shared" si="2"/>
        <v>0</v>
      </c>
      <c r="N20" s="362">
        <f t="shared" si="2"/>
        <v>0</v>
      </c>
    </row>
    <row r="21" spans="1:18">
      <c r="A21" s="64"/>
      <c r="B21" s="32" t="s">
        <v>110</v>
      </c>
      <c r="C21" s="1"/>
      <c r="D21" s="70">
        <f>SUM(D18:D20)</f>
        <v>144867.6299616</v>
      </c>
      <c r="E21" s="70"/>
      <c r="F21" s="70"/>
      <c r="G21" s="70"/>
      <c r="H21" s="70"/>
      <c r="I21" s="38"/>
      <c r="K21" s="70"/>
      <c r="L21" s="219"/>
      <c r="M21" s="217"/>
      <c r="N21" s="220"/>
    </row>
    <row r="22" spans="1:18" ht="8.5" customHeight="1">
      <c r="A22" s="64"/>
      <c r="B22" s="32"/>
      <c r="C22" s="1"/>
      <c r="D22" s="11"/>
      <c r="E22" s="11"/>
      <c r="F22" s="11"/>
      <c r="G22" s="11"/>
      <c r="H22" s="11"/>
      <c r="I22" s="38"/>
      <c r="K22" s="11"/>
      <c r="L22" s="219"/>
      <c r="M22" s="218"/>
      <c r="N22" s="220"/>
    </row>
    <row r="23" spans="1:18">
      <c r="A23" s="61">
        <f>TotalClassrooms-SchoolageClassroom</f>
        <v>4</v>
      </c>
      <c r="B23" s="29" t="s">
        <v>111</v>
      </c>
      <c r="C23" s="11"/>
      <c r="D23" s="11">
        <f t="shared" ref="D23:D28" si="5">IF(E$1="Star 2+/3",(A23*F23+L23),
IF(E$1="Star 4",(A23*G23+M23),
IF(E$1="Star 5",(A23*H23+N23),
(A23*E23+K23))))</f>
        <v>172560.96</v>
      </c>
      <c r="E23" s="219">
        <f>IF(Salary="BLS adj min wage",Wages!B17,
IF(Salary="BLS adj $12.10",Wages!B28,
IF(Salary="Kindergarten Parity",Wages!$E6,
IF(Salary="User added",Wages!$F6,
IF(Salary="$15 min wage",Wages!B38,
IF(Salary="$18 min wage",Wages!B48,IF(Salary="$20 min wage",Wages!B59)))))))</f>
        <v>43140.24</v>
      </c>
      <c r="F23" s="219">
        <f>IF(Salary="BLS adj min wage",Wages!C17,
IF(Salary="BLS adj $12.10",Wages!C28,
IF(Salary="Kindergarten Parity",Wages!$E6,
IF(Salary="User added",Wages!$F6,
IF(Salary="$15 min wage",Wages!C38,
IF(Salary="$18 min wage",Wages!C48,IF(Salary="$20 min wage",Wages!C59)))))))</f>
        <v>43140.24</v>
      </c>
      <c r="G23" s="219">
        <f>IF(Salary="BLS adj min wage",Wages!D17,
IF(Salary="BLS adj $12.10",Wages!D28,
IF(Salary="Kindergarten Parity",Wages!$E6,
IF(Salary="User added",Wages!$F6,
IF(Salary="$15 min wage",Wages!D38,
IF(Salary="$18 min wage",Wages!D48,IF(Salary="$20 min wage",Wages!D59)))))))</f>
        <v>47454.264000000003</v>
      </c>
      <c r="H23" s="219">
        <f>IF(Salary="BLS adj min wage",Wages!E17,
IF(Salary="BLS adj $12.10",Wages!E28,
IF(Salary="Kindergarten Parity",Wages!$E6,
IF(Salary="User added",Wages!$F6,
IF(Salary="$15 min wage",Wages!E38,
IF(Salary="$18 min wage",Wages!E48,IF(Salary="$20 min wage",Wages!E59)))))))</f>
        <v>51768.287999999993</v>
      </c>
      <c r="I23" s="222"/>
      <c r="J23" s="5"/>
      <c r="K23" s="362">
        <f>SUM($K$15*E23)</f>
        <v>0</v>
      </c>
      <c r="L23" s="362">
        <f t="shared" ref="L23:L25" si="6">SUM($K$15*F23)</f>
        <v>0</v>
      </c>
      <c r="M23" s="362">
        <f t="shared" ref="M23:M25" si="7">SUM($K$15*G23)</f>
        <v>0</v>
      </c>
      <c r="N23" s="362">
        <f t="shared" ref="N23:N25" si="8">SUM($K$15*H23)</f>
        <v>0</v>
      </c>
    </row>
    <row r="24" spans="1:18">
      <c r="A24" s="61">
        <f>SUM(E12-E11)-SUM(F12-SchoolageClassroom)</f>
        <v>4</v>
      </c>
      <c r="B24" s="29" t="s">
        <v>112</v>
      </c>
      <c r="C24" s="11"/>
      <c r="D24" s="11">
        <f t="shared" si="5"/>
        <v>124800</v>
      </c>
      <c r="E24" s="219">
        <f>IF(Salary="BLS adj min wage",Wages!B18,
IF(Salary="BLS adj $12.10",Wages!B29,
IF(Salary="Kindergarten Parity",Wages!$E7,
IF(Salary="User added",Wages!$F7,
IF(Salary="$15 min wage",Wages!B39,
IF(Salary="$18 min wage",Wages!B49,IF(Salary="$20 min wage",Wages!B60)))))))</f>
        <v>31200</v>
      </c>
      <c r="F24" s="219">
        <f>IF(Salary="BLS adj min wage",Wages!C18,
IF(Salary="BLS adj $12.10",Wages!C29,
IF(Salary="Kindergarten Parity",Wages!$E7,
IF(Salary="User added",Wages!$F7,
IF(Salary="$15 min wage",Wages!C39,
IF(Salary="$18 min wage",Wages!C49,IF(Salary="$20 min wage",Wages!C60)))))))</f>
        <v>31200</v>
      </c>
      <c r="G24" s="219">
        <f>IF(Salary="BLS adj min wage",Wages!D18,
IF(Salary="BLS adj $12.10",Wages!D29,
IF(Salary="Kindergarten Parity",Wages!$E7,
IF(Salary="User added",Wages!$F7,
IF(Salary="$15 min wage",Wages!D39,
IF(Salary="$18 min wage",Wages!D49,IF(Salary="$20 min wage",Wages!D60)))))))</f>
        <v>34320</v>
      </c>
      <c r="H24" s="219">
        <f>IF(Salary="BLS adj min wage",Wages!E18,
IF(Salary="BLS adj $12.10",Wages!E29,
IF(Salary="Kindergarten Parity",Wages!$E7,
IF(Salary="User added",Wages!$F7,
IF(Salary="$15 min wage",Wages!E39,
IF(Salary="$18 min wage",Wages!E49,IF(Salary="$20 min wage",Wages!E60)))))))</f>
        <v>37440</v>
      </c>
      <c r="I24" s="38"/>
      <c r="K24" s="362">
        <f t="shared" ref="K24" si="9">SUM($K$15*E24)</f>
        <v>0</v>
      </c>
      <c r="L24" s="362">
        <f t="shared" si="6"/>
        <v>0</v>
      </c>
      <c r="M24" s="362">
        <f t="shared" si="7"/>
        <v>0</v>
      </c>
      <c r="N24" s="362">
        <f t="shared" si="8"/>
        <v>0</v>
      </c>
    </row>
    <row r="25" spans="1:18">
      <c r="A25" s="61">
        <f>SchoolageClassroom</f>
        <v>1</v>
      </c>
      <c r="B25" s="29" t="s">
        <v>113</v>
      </c>
      <c r="C25" s="11"/>
      <c r="D25" s="11">
        <f t="shared" si="5"/>
        <v>25884.143999999997</v>
      </c>
      <c r="E25" s="219">
        <f>IF(Salary="BLS adj min wage",Wages!B17,
IF(Salary="BLS adj $12.10",Wages!B28,
IF(Salary="Kindergarten Parity",Wages!$E6,
IF(Salary="User added",Wages!$F6,
IF(Salary="$15 min wage",Wages!B38,
IF(Salary="$18 min wage",Wages!B48,IF(Salary="$20 min wage",Wages!B59))))))*0.6)</f>
        <v>25884.143999999997</v>
      </c>
      <c r="F25" s="219">
        <f>IF(Salary="BLS adj min wage",Wages!C17,
IF(Salary="BLS adj $12.10",Wages!C28,
IF(Salary="Kindergarten Parity",Wages!$E6,
IF(Salary="User added",Wages!$F6,
IF(Salary="$15 min wage",Wages!C38,
IF(Salary="$18 min wage",Wages!C48,IF(Salary="$20 min wage",Wages!C59))))))*0.6)</f>
        <v>25884.143999999997</v>
      </c>
      <c r="G25" s="219">
        <f>IF(Salary="BLS adj min wage",Wages!D17,
IF(Salary="BLS adj $12.10",Wages!D28,
IF(Salary="Kindergarten Parity",Wages!$E6,
IF(Salary="User added",Wages!$F6,
IF(Salary="$15 min wage",Wages!D38,
IF(Salary="$18 min wage",Wages!D48,IF(Salary="$20 min wage",Wages!D59))))))*0.6)</f>
        <v>28472.558400000002</v>
      </c>
      <c r="H25" s="219">
        <f>IF(Salary="BLS adj min wage",Wages!E17,
IF(Salary="BLS adj $12.10",Wages!E28,
IF(Salary="Kindergarten Parity",Wages!$E6,
IF(Salary="User added",Wages!$F6,
IF(Salary="$15 min wage",Wages!E38,
IF(Salary="$18 min wage",Wages!E48,IF(Salary="$20 min wage",Wages!E59))))))*0.6)</f>
        <v>31060.972799999996</v>
      </c>
      <c r="I25" s="5"/>
      <c r="K25" s="362">
        <f>SUM($K$15*E25)</f>
        <v>0</v>
      </c>
      <c r="L25" s="362">
        <f t="shared" si="6"/>
        <v>0</v>
      </c>
      <c r="M25" s="362">
        <f t="shared" si="7"/>
        <v>0</v>
      </c>
      <c r="N25" s="362">
        <f t="shared" si="8"/>
        <v>0</v>
      </c>
    </row>
    <row r="26" spans="1:18">
      <c r="A26" s="61">
        <f>E11-SchoolageClassroom</f>
        <v>1</v>
      </c>
      <c r="B26" s="29" t="s">
        <v>114</v>
      </c>
      <c r="C26" s="11"/>
      <c r="D26" s="11">
        <f t="shared" si="5"/>
        <v>18720</v>
      </c>
      <c r="E26" s="219">
        <f>IF(Salary="BLS adj min wage",Wages!B18,
IF(Salary="BLS adj $12.10",Wages!B29,
IF(Salary="Kindergarten Parity",Wages!$E7,
IF(Salary="User added",Wages!$F7,
IF(Salary="$15 min wage",Wages!B39,
IF(Salary="$18 min wage",Wages!B49,IF(Salary="$20 min wage",Wages!B60))))))*0.6)</f>
        <v>18720</v>
      </c>
      <c r="F26" s="219">
        <f>IF(Salary="BLS adj min wage",Wages!C18,
IF(Salary="BLS adj $12.10",Wages!C29,
IF(Salary="Kindergarten Parity",Wages!$E7,
IF(Salary="User added",Wages!$F7,
IF(Salary="$15 min wage",Wages!C39,
IF(Salary="$18 min wage",Wages!C49,IF(Salary="$20 min wage",Wages!C60))))))*0.6)</f>
        <v>18720</v>
      </c>
      <c r="G26" s="219">
        <f>IF(Salary="BLS adj min wage",Wages!D18,
IF(Salary="BLS adj $12.10",Wages!D29,
IF(Salary="Kindergarten Parity",Wages!$E7,
IF(Salary="User added",Wages!$F7,
IF(Salary="$15 min wage",Wages!D39,
IF(Salary="$18 min wage",Wages!D49,IF(Salary="$20 min wage",Wages!D60))))))*0.6)</f>
        <v>20592</v>
      </c>
      <c r="H26" s="219">
        <f>IF(Salary="BLS adj min wage",Wages!E18,
IF(Salary="BLS adj $12.10",Wages!E29,
IF(Salary="Kindergarten Parity",Wages!$E7,
IF(Salary="User added",Wages!$F7,
IF(Salary="$15 min wage",Wages!E39,
IF(Salary="$18 min wage",Wages!E49,IF(Salary="$20 min wage",Wages!E60))))))*0.6)</f>
        <v>22464</v>
      </c>
      <c r="I26" s="5"/>
      <c r="K26" s="362">
        <f t="shared" ref="K26:K28" si="10">SUM($K$15*E26)</f>
        <v>0</v>
      </c>
      <c r="L26" s="362">
        <f t="shared" ref="L26:L28" si="11">SUM($K$15*F26)</f>
        <v>0</v>
      </c>
      <c r="M26" s="362">
        <f t="shared" ref="M26:M28" si="12">SUM($K$15*G26)</f>
        <v>0</v>
      </c>
      <c r="N26" s="362">
        <f t="shared" ref="N26:N27" si="13">SUM($K$15*H26)</f>
        <v>0</v>
      </c>
    </row>
    <row r="27" spans="1:18" ht="19" customHeight="1">
      <c r="A27" s="61">
        <f>SUM(E7:E10)*F13</f>
        <v>1.6</v>
      </c>
      <c r="B27" s="30" t="s">
        <v>115</v>
      </c>
      <c r="C27" s="11"/>
      <c r="D27" s="11">
        <f t="shared" si="5"/>
        <v>49920</v>
      </c>
      <c r="E27" s="219">
        <f>E24</f>
        <v>31200</v>
      </c>
      <c r="F27" s="219">
        <f t="shared" ref="F27:H27" si="14">F24</f>
        <v>31200</v>
      </c>
      <c r="G27" s="219">
        <f t="shared" si="14"/>
        <v>34320</v>
      </c>
      <c r="H27" s="219">
        <f t="shared" si="14"/>
        <v>37440</v>
      </c>
      <c r="I27" s="436">
        <f>IF(E1="Star 4",(G27/2080),IF(E1="Star 5",(H27/2080),(F27/2080)))</f>
        <v>15</v>
      </c>
      <c r="J27" s="29" t="s">
        <v>116</v>
      </c>
      <c r="K27" s="362">
        <f t="shared" si="10"/>
        <v>0</v>
      </c>
      <c r="L27" s="362">
        <f t="shared" si="11"/>
        <v>0</v>
      </c>
      <c r="M27" s="362">
        <f t="shared" si="12"/>
        <v>0</v>
      </c>
      <c r="N27" s="362">
        <f t="shared" si="13"/>
        <v>0</v>
      </c>
      <c r="O27" s="437">
        <f>I27*K15</f>
        <v>0</v>
      </c>
    </row>
    <row r="28" spans="1:18" ht="19" customHeight="1">
      <c r="A28" s="61">
        <f>(IF(E1="Licensing/Star 2",0,
IF(E1="Star 2+/3",SUM(2,(2.5*A23+A25)),
IF(E1="Star 4",SUM(3,(2.5*SUM(A23:A26))),
IF(E1="Star 5",SUM(4,(3.5*SUM(A23:A26))))))))*52/2080</f>
        <v>0</v>
      </c>
      <c r="B28" s="30" t="s">
        <v>117</v>
      </c>
      <c r="C28" s="11"/>
      <c r="D28" s="11">
        <f t="shared" si="5"/>
        <v>0</v>
      </c>
      <c r="E28" s="221">
        <f>E27</f>
        <v>31200</v>
      </c>
      <c r="F28" s="221">
        <f t="shared" ref="F28:H28" si="15">F27</f>
        <v>31200</v>
      </c>
      <c r="G28" s="221">
        <f t="shared" si="15"/>
        <v>34320</v>
      </c>
      <c r="H28" s="221">
        <f t="shared" si="15"/>
        <v>37440</v>
      </c>
      <c r="I28" s="209"/>
      <c r="J28" s="29"/>
      <c r="K28" s="362">
        <f t="shared" si="10"/>
        <v>0</v>
      </c>
      <c r="L28" s="362">
        <f t="shared" si="11"/>
        <v>0</v>
      </c>
      <c r="M28" s="362">
        <f t="shared" si="12"/>
        <v>0</v>
      </c>
      <c r="N28" s="362">
        <f>SUM($K$15*H28)</f>
        <v>0</v>
      </c>
    </row>
    <row r="29" spans="1:18">
      <c r="A29" s="71">
        <f>SUM(A23:A28)</f>
        <v>11.6</v>
      </c>
      <c r="B29" s="32" t="s">
        <v>118</v>
      </c>
      <c r="D29" s="70">
        <f>SUM(D23:D28)</f>
        <v>391885.10399999993</v>
      </c>
      <c r="F29" s="70"/>
      <c r="L29" s="11"/>
    </row>
    <row r="30" spans="1:18">
      <c r="B30" s="32" t="s">
        <v>119</v>
      </c>
      <c r="D30" s="11">
        <f>D21+D29</f>
        <v>536752.73396159988</v>
      </c>
      <c r="F30" s="11"/>
    </row>
    <row r="31" spans="1:18" ht="7.5" customHeight="1">
      <c r="B31" s="32"/>
    </row>
    <row r="32" spans="1:18">
      <c r="B32" s="29" t="s">
        <v>120</v>
      </c>
      <c r="D32" s="11">
        <f>SUM(A23:A27)*E32*8*(I27+O27)</f>
        <v>13920</v>
      </c>
      <c r="E32" s="27">
        <f>Paid_Leave</f>
        <v>10</v>
      </c>
      <c r="F32" s="29" t="s">
        <v>121</v>
      </c>
    </row>
    <row r="33" spans="2:8">
      <c r="B33" s="29" t="s">
        <v>122</v>
      </c>
      <c r="D33" s="15">
        <f>SUM(A23:A27)*E33*8*(I27+O27)</f>
        <v>13920</v>
      </c>
      <c r="E33" s="27">
        <f>Sick_Days</f>
        <v>10</v>
      </c>
      <c r="F33" s="29" t="s">
        <v>123</v>
      </c>
    </row>
    <row r="34" spans="2:8">
      <c r="B34" s="34" t="s">
        <v>124</v>
      </c>
      <c r="D34" s="385">
        <f>E34*(I27+O27)</f>
        <v>3240</v>
      </c>
      <c r="E34" s="27">
        <f>24*(A29-A20-A27-A28)</f>
        <v>216</v>
      </c>
      <c r="F34" s="29" t="s">
        <v>125</v>
      </c>
      <c r="H34" s="29"/>
    </row>
    <row r="35" spans="2:8">
      <c r="B35" s="32" t="s">
        <v>126</v>
      </c>
      <c r="D35" s="15">
        <f>SUM(D32:D34)</f>
        <v>31080</v>
      </c>
      <c r="F35" s="29"/>
    </row>
    <row r="36" spans="2:8" ht="6.5" customHeight="1">
      <c r="B36" s="32"/>
      <c r="D36" s="14"/>
      <c r="F36" s="29"/>
    </row>
    <row r="37" spans="2:8">
      <c r="B37" s="9" t="s">
        <v>127</v>
      </c>
      <c r="C37" s="12"/>
      <c r="D37" s="16">
        <f>D30+D35</f>
        <v>567832.73396159988</v>
      </c>
    </row>
    <row r="38" spans="2:8">
      <c r="B38" s="60" t="s">
        <v>128</v>
      </c>
    </row>
    <row r="39" spans="2:8">
      <c r="B39" s="29" t="s">
        <v>129</v>
      </c>
      <c r="C39" s="67">
        <v>6.2E-2</v>
      </c>
      <c r="D39" s="15">
        <f>C39*D37</f>
        <v>35205.629505619196</v>
      </c>
      <c r="G39" s="29"/>
    </row>
    <row r="40" spans="2:8" ht="12.5" customHeight="1">
      <c r="B40" t="s">
        <v>130</v>
      </c>
      <c r="C40" s="67">
        <v>1.4500000000000001E-2</v>
      </c>
      <c r="D40" s="15">
        <f>C40*D37</f>
        <v>8233.5746424431982</v>
      </c>
      <c r="F40" s="29"/>
      <c r="G40" s="22"/>
    </row>
    <row r="41" spans="2:8" ht="18.5" customHeight="1">
      <c r="B41" s="29" t="s">
        <v>131</v>
      </c>
      <c r="C41" s="94">
        <v>5.0000000000000001E-3</v>
      </c>
      <c r="D41" s="11">
        <f>C41*D37</f>
        <v>2839.1636698079997</v>
      </c>
      <c r="E41" s="73"/>
      <c r="F41" s="34"/>
    </row>
    <row r="42" spans="2:8" ht="15" customHeight="1">
      <c r="B42" t="s">
        <v>132</v>
      </c>
      <c r="C42" s="94">
        <v>0.02</v>
      </c>
      <c r="D42" s="15">
        <f>C42*D37</f>
        <v>11356.654679231999</v>
      </c>
      <c r="E42" s="73"/>
      <c r="F42" s="34"/>
    </row>
    <row r="43" spans="2:8" ht="12.5" customHeight="1">
      <c r="B43" s="9" t="s">
        <v>133</v>
      </c>
      <c r="C43" s="68">
        <f>SUM(C39:C42)</f>
        <v>0.10150000000000001</v>
      </c>
      <c r="D43" s="15">
        <f>SUM(D39:D42)</f>
        <v>57635.022497102393</v>
      </c>
      <c r="E43" s="11">
        <f>Personnel-AdditionalBenefits</f>
        <v>625467.75645870226</v>
      </c>
      <c r="F43" s="328">
        <f>E43/D58</f>
        <v>0.58558093911900655</v>
      </c>
      <c r="G43" s="22"/>
    </row>
    <row r="44" spans="2:8">
      <c r="B44" s="60" t="s">
        <v>134</v>
      </c>
      <c r="C44" s="17"/>
      <c r="D44" s="18"/>
      <c r="E44" s="11"/>
    </row>
    <row r="45" spans="2:8">
      <c r="B45" s="34" t="s">
        <v>135</v>
      </c>
      <c r="C45" s="279">
        <f>SUM(5864,5864*K15)</f>
        <v>5864</v>
      </c>
      <c r="D45" s="14">
        <f>IF(HealthIns="Yes", (Addl_benefits_per_staff*A17), 0)</f>
        <v>85614.399999999994</v>
      </c>
      <c r="E45" s="5" t="s">
        <v>421</v>
      </c>
      <c r="F45" s="5"/>
    </row>
    <row r="46" spans="2:8">
      <c r="B46" s="21" t="s">
        <v>136</v>
      </c>
      <c r="C46" s="18"/>
      <c r="D46" s="16">
        <f>D37+D43+D45</f>
        <v>711082.15645870229</v>
      </c>
      <c r="E46" s="1">
        <f>D46/D58</f>
        <v>0.66573560774327234</v>
      </c>
      <c r="F46" t="s">
        <v>137</v>
      </c>
    </row>
    <row r="47" spans="2:8">
      <c r="B47" s="21"/>
      <c r="C47" s="18"/>
      <c r="D47" s="16"/>
      <c r="E47" s="1"/>
      <c r="H47" s="32"/>
    </row>
    <row r="48" spans="2:8">
      <c r="B48" s="2" t="s">
        <v>138</v>
      </c>
      <c r="C48" s="429">
        <v>0</v>
      </c>
      <c r="D48" s="438" t="s">
        <v>423</v>
      </c>
    </row>
    <row r="49" spans="1:12" ht="14" thickBot="1">
      <c r="A49" s="66"/>
      <c r="B49" s="34" t="s">
        <v>139</v>
      </c>
      <c r="C49" s="17"/>
      <c r="D49" s="31">
        <f>SUM(((Nonpersonnel!F41*TotalChildren)*'Quality Center Profile'!C48),(Nonpersonnel!F41*TotalChildren))</f>
        <v>161729.8382</v>
      </c>
      <c r="F49" s="29" t="s">
        <v>140</v>
      </c>
    </row>
    <row r="50" spans="1:12">
      <c r="A50" s="69"/>
      <c r="B50" s="34" t="s">
        <v>141</v>
      </c>
      <c r="C50" s="62"/>
      <c r="D50" s="31">
        <f>SUM(((Nonpersonnel!F40*TotalClassrooms)*'Quality Center Profile'!C48),(Nonpersonnel!F40*TotalClassrooms))</f>
        <v>116785.08333333331</v>
      </c>
      <c r="F50" s="29" t="s">
        <v>140</v>
      </c>
      <c r="H50" s="99" t="s">
        <v>142</v>
      </c>
      <c r="I50" s="100"/>
    </row>
    <row r="51" spans="1:12">
      <c r="A51" s="66"/>
      <c r="B51" s="34" t="s">
        <v>143</v>
      </c>
      <c r="C51" s="62"/>
      <c r="D51" s="31">
        <f>SUM(((Nonpersonnel!F39*TotalChildren)*'Quality Center Profile'!C48),(Nonpersonnel!F39*TotalChildren))</f>
        <v>13292.291083076923</v>
      </c>
      <c r="E51" s="17"/>
      <c r="F51" s="29" t="s">
        <v>140</v>
      </c>
      <c r="G51" s="17"/>
      <c r="H51" s="101" t="str">
        <f>B7</f>
        <v>Infants</v>
      </c>
      <c r="I51" s="102">
        <f>H7*Infants</f>
        <v>178754.8404681758</v>
      </c>
    </row>
    <row r="52" spans="1:12">
      <c r="A52" s="66"/>
      <c r="B52" s="34" t="s">
        <v>144</v>
      </c>
      <c r="C52" s="62"/>
      <c r="D52" s="31">
        <f>SUM(((Nonpersonnel!G61*Schoolagers)*'Quality Center Profile'!C48),(Nonpersonnel!G61*Schoolagers))</f>
        <v>14362.965804347827</v>
      </c>
      <c r="E52" s="17"/>
      <c r="F52" s="29"/>
      <c r="G52" s="17"/>
      <c r="H52" s="101" t="str">
        <f>B8</f>
        <v>Two-year-olds</v>
      </c>
      <c r="I52" s="102">
        <f>H8*Toddlers</f>
        <v>221993.22966918192</v>
      </c>
    </row>
    <row r="53" spans="1:12">
      <c r="B53" s="34" t="s">
        <v>145</v>
      </c>
      <c r="C53" s="62"/>
      <c r="D53" s="31">
        <f>(Nonpersonnel!B50+Nonpersonnel!B49)</f>
        <v>0</v>
      </c>
      <c r="E53" s="17"/>
      <c r="H53" s="101" t="str">
        <f>B9</f>
        <v>Three-year-olds</v>
      </c>
      <c r="I53" s="102">
        <f>H9*Pre3Children</f>
        <v>243612.42426968488</v>
      </c>
    </row>
    <row r="54" spans="1:12">
      <c r="A54" s="66"/>
      <c r="B54" s="21" t="s">
        <v>146</v>
      </c>
      <c r="C54" s="16"/>
      <c r="D54" s="65">
        <f>SUM(D49:D53)</f>
        <v>306170.17842075805</v>
      </c>
      <c r="E54" s="1">
        <f>D54/D58</f>
        <v>0.2866453446376801</v>
      </c>
      <c r="F54" t="s">
        <v>137</v>
      </c>
      <c r="H54" s="101" t="str">
        <f>B10</f>
        <v>Four-year-olds</v>
      </c>
      <c r="I54" s="102">
        <f>H10*Pre4Children</f>
        <v>243612.42426968488</v>
      </c>
    </row>
    <row r="55" spans="1:12">
      <c r="A55" s="66"/>
      <c r="B55" s="21"/>
      <c r="C55" s="16"/>
      <c r="D55" s="65"/>
      <c r="E55" s="1"/>
      <c r="H55" s="101" t="str">
        <f>B11</f>
        <v>School age</v>
      </c>
      <c r="I55" s="102">
        <f>H11*Schoolagers</f>
        <v>192229.46264270585</v>
      </c>
    </row>
    <row r="56" spans="1:12" ht="13" customHeight="1">
      <c r="A56" s="66"/>
      <c r="B56" s="10" t="s">
        <v>147</v>
      </c>
      <c r="D56" s="31">
        <f>E56*(Personnel+Nonpersonnel)</f>
        <v>50862.61674397302</v>
      </c>
      <c r="E56" s="13">
        <v>0.05</v>
      </c>
      <c r="F56" t="s">
        <v>137</v>
      </c>
      <c r="H56" s="105" t="s">
        <v>97</v>
      </c>
      <c r="I56" s="106">
        <f>SUM(I51:I55)</f>
        <v>1080202.3813194332</v>
      </c>
      <c r="K56" s="32"/>
      <c r="L56" s="11"/>
    </row>
    <row r="57" spans="1:12" ht="14" thickBot="1">
      <c r="A57" s="77"/>
      <c r="B57" s="29" t="s">
        <v>21</v>
      </c>
      <c r="C57" s="273">
        <v>0.08</v>
      </c>
      <c r="D57" s="282">
        <f>IF('VariablesINPUT-CTR'!C16='VariablesINPUT-CTR'!F16,'Quality Center Profile'!C57*'Quality Center Profile'!D72,0)</f>
        <v>12087.429695999996</v>
      </c>
      <c r="E57" s="29" t="s">
        <v>148</v>
      </c>
      <c r="G57" s="77"/>
      <c r="H57" s="103"/>
      <c r="I57" s="104">
        <f>SUM(I56,D73)-D59</f>
        <v>0</v>
      </c>
    </row>
    <row r="58" spans="1:12">
      <c r="A58" s="66"/>
      <c r="B58" s="21" t="s">
        <v>149</v>
      </c>
      <c r="D58" s="52">
        <f>SUM(Personnel,Nonpersonnel,Reserve_Fund)</f>
        <v>1068114.9516234333</v>
      </c>
      <c r="E58" s="77" t="s">
        <v>150</v>
      </c>
      <c r="F58" s="77"/>
      <c r="G58" s="12">
        <f>D58/12</f>
        <v>89009.579301952777</v>
      </c>
      <c r="H58" s="29"/>
    </row>
    <row r="59" spans="1:12">
      <c r="D59" s="372">
        <f>SUM(D57:D58)</f>
        <v>1080202.3813194332</v>
      </c>
      <c r="E59" s="5" t="s">
        <v>151</v>
      </c>
    </row>
    <row r="60" spans="1:12">
      <c r="A60" s="29" t="s">
        <v>152</v>
      </c>
      <c r="D60" s="31"/>
      <c r="G60" s="331"/>
      <c r="H60" s="331"/>
      <c r="I60" s="331"/>
      <c r="J60" s="331"/>
      <c r="K60" s="331"/>
    </row>
    <row r="61" spans="1:12" ht="14">
      <c r="A61" s="246">
        <f>SUM(A64:A65)</f>
        <v>110</v>
      </c>
      <c r="B61" s="366" t="s">
        <v>153</v>
      </c>
      <c r="C61" s="384" t="s">
        <v>154</v>
      </c>
      <c r="D61" s="365" t="s">
        <v>154</v>
      </c>
      <c r="E61" s="365" t="s">
        <v>155</v>
      </c>
      <c r="F61" s="364"/>
      <c r="G61" s="364"/>
      <c r="H61" s="364"/>
      <c r="I61" s="364"/>
      <c r="J61" s="29"/>
    </row>
    <row r="62" spans="1:12">
      <c r="A62" s="77"/>
      <c r="B62" s="245" t="s">
        <v>64</v>
      </c>
      <c r="D62" s="25"/>
      <c r="E62" s="29"/>
      <c r="I62" s="11"/>
      <c r="J62" s="29"/>
    </row>
    <row r="63" spans="1:12">
      <c r="A63" s="272">
        <f>'VariablesINPUT-CTR'!D45</f>
        <v>5</v>
      </c>
      <c r="B63" s="77" t="s">
        <v>156</v>
      </c>
      <c r="D63" s="25">
        <f>SUM(('VariablesINPUT-CTR'!C44*SUM(AVERAGE('Fed CACFP'!J7:J8)*52)),
('VariablesINPUT-CTR'!D44*('Fed CACFP'!J6)*52))</f>
        <v>32291.999999999993</v>
      </c>
      <c r="E63" s="29"/>
      <c r="F63" s="48" t="s">
        <v>157</v>
      </c>
      <c r="G63" s="48" t="s">
        <v>158</v>
      </c>
      <c r="H63" s="48" t="s">
        <v>159</v>
      </c>
      <c r="I63" s="260" t="s">
        <v>160</v>
      </c>
      <c r="J63" s="48" t="s">
        <v>17</v>
      </c>
    </row>
    <row r="64" spans="1:12">
      <c r="A64" s="272">
        <f>'VariablesINPUT-CTR'!D44</f>
        <v>105</v>
      </c>
      <c r="B64" s="77" t="s">
        <v>161</v>
      </c>
      <c r="D64" s="25">
        <f>SUM(F64:J64)*12</f>
        <v>1181815.26</v>
      </c>
      <c r="F64" s="370">
        <f>IF(AND(C61="Metro",RatioOpt="Licensing/Star 2"),('VariablesINPUT-CTR'!D39*'Tuition Rates'!C4),
IF(AND(C61="Metro",RatioOpt="Star 2+/3"),('VariablesINPUT-CTR'!D39*'Tuition Rates'!C16),
IF(AND(C61="Metro",RatioOpt="Star 4"),('VariablesINPUT-CTR'!D39*'Tuition Rates'!C22),
IF(AND(C61="Metro",RatioOpt="Star 5"),('VariablesINPUT-CTR'!D39*'Tuition Rates'!C28),
IF(AND(C61=E61,RatioOpt="Licensing/Star 2"),('VariablesINPUT-CTR'!D39*'Tuition Rates'!C35),
IF(AND(C61=E61,RatioOpt="Star 2+/3"),('VariablesINPUT-CTR'!D39*'Tuition Rates'!C47),
IF(AND(C61=E61,RatioOpt="Star 4"),('VariablesINPUT-CTR'!D39*'Tuition Rates'!C53),
IF(AND(C61=E61,RatioOpt="Star 5"),('VariablesINPUT-CTR'!D39*'Tuition Rates'!C59),0))))))))</f>
        <v>9493.11</v>
      </c>
      <c r="G64" s="370">
        <f>IF(AND(C61="Metro",RatioOpt="Licensing/Star 2"),('VariablesINPUT-CTR'!D40*'Tuition Rates'!D4),
IF(AND(C61="Metro",RatioOpt="Star 2+/3"),('VariablesINPUT-CTR'!D40*'Tuition Rates'!D16),
IF(AND(C61="Metro",RatioOpt="Star 4"),('VariablesINPUT-CTR'!D40*'Tuition Rates'!D22),
IF(AND(C61="Metro",RatioOpt="Star 5"),('VariablesINPUT-CTR'!D40*'Tuition Rates'!D28),
IF(AND(C61=E61,RatioOpt="Licensing/Star 2"),('VariablesINPUT-CTR'!D40*'Tuition Rates'!D35),
IF(AND(C61=E61,RatioOpt="Star 2+/3"),('VariablesINPUT-CTR'!D40*'Tuition Rates'!D47),
IF(AND(C61=E61,RatioOpt="Star 4"),('VariablesINPUT-CTR'!D40*'Tuition Rates'!D53),
IF(AND(C61=E61,RatioOpt="Star 5"),('VariablesINPUT-CTR'!D40*'Tuition Rates'!D59),0))))))))</f>
        <v>16418.375</v>
      </c>
      <c r="H64" s="370">
        <f>IF(AND(C61="Metro",RatioOpt="Licensing/Star 2"),('VariablesINPUT-CTR'!D41*'Tuition Rates'!E4),
IF(AND(C61="Metro",RatioOpt="Star 2+/3"),('VariablesINPUT-CTR'!D41*'Tuition Rates'!E16),
IF(AND(C61="Metro",RatioOpt="Star 4"),('VariablesINPUT-CTR'!D41*'Tuition Rates'!E22),
IF(AND(C61="Metro",RatioOpt="Star 5"),('VariablesINPUT-CTR'!D41*'Tuition Rates'!E28),
IF(AND(C61=E61,RatioOpt="Licensing/Star 2"),('VariablesINPUT-CTR'!D41*'Tuition Rates'!E35),
IF(AND(C61=E61,RatioOpt="Star 2+/3"),('VariablesINPUT-CTR'!D41*'Tuition Rates'!E47),
IF(AND(C61=E61,RatioOpt="Star 4"),('VariablesINPUT-CTR'!D41*'Tuition Rates'!E53),
IF(AND(C61=E61,RatioOpt="Star 5"),('VariablesINPUT-CTR'!D41*'Tuition Rates'!E59),0))))))))</f>
        <v>19310.685000000001</v>
      </c>
      <c r="I64" s="370">
        <f>IF(AND(C61="Metro",RatioOpt="Licensing/Star 2"),('VariablesINPUT-CTR'!D42*'Tuition Rates'!F4),
IF(AND(C61="Metro",RatioOpt="Star 2+/3"),('VariablesINPUT-CTR'!D42*'Tuition Rates'!F16),
IF(AND(C61="Metro",RatioOpt="Star 4"),('VariablesINPUT-CTR'!D42*'Tuition Rates'!F22),
IF(AND(C61="Metro",RatioOpt="Star 5"),('VariablesINPUT-CTR'!D42*'Tuition Rates'!F28),
IF(AND(C61=E61,RatioOpt="Licensing/Star 2"),('VariablesINPUT-CTR'!D42*'Tuition Rates'!F35),
IF(AND(C61=E61,RatioOpt="Star 2+/3"),('VariablesINPUT-CTR'!D42*'Tuition Rates'!F47),
IF(AND(C61=E61,RatioOpt="Star 4"),('VariablesINPUT-CTR'!D42*'Tuition Rates'!F53),
IF(AND(C61=E61,RatioOpt="Star 5"),('VariablesINPUT-CTR'!D42*'Tuition Rates'!F59),0))))))))</f>
        <v>19310.685000000001</v>
      </c>
      <c r="J64" s="370">
        <f>IF(AND(C61="Metro",RatioOpt="Licensing/Star 2"),('VariablesINPUT-CTR'!D43*'Tuition Rates'!G4),
IF(AND(C61="Metro",RatioOpt="Star 2+/3"),('VariablesINPUT-CTR'!D43*'Tuition Rates'!G16),
IF(AND(C61="Metro",RatioOpt="Star 4"),('VariablesINPUT-CTR'!D43*'Tuition Rates'!G22),
IF(AND(C61="Metro",RatioOpt="Star 5"),('VariablesINPUT-CTR'!D43*'Tuition Rates'!G28),
IF(AND(C61=E61,RatioOpt="Licensing/Star 2"),('VariablesINPUT-CTR'!D43*'Tuition Rates'!G35),
IF(AND(C61=E61,RatioOpt="Star 2+/3"),('VariablesINPUT-CTR'!D43*'Tuition Rates'!G47),
IF(AND(C61=E61,RatioOpt="Star 4"),('VariablesINPUT-CTR'!D43*'Tuition Rates'!G53),
IF(AND(C61=E61,RatioOpt="Star 5"),('VariablesINPUT-CTR'!D43*'Tuition Rates'!G59),0))))))))</f>
        <v>33951.75</v>
      </c>
    </row>
    <row r="65" spans="1:11">
      <c r="A65" s="272">
        <f>'VariablesINPUT-CTR'!C44</f>
        <v>5</v>
      </c>
      <c r="B65" s="77" t="s">
        <v>66</v>
      </c>
      <c r="D65" s="25">
        <f>SUM(F65:J65)*12</f>
        <v>45000</v>
      </c>
      <c r="F65" s="261">
        <f>IF(RatioOpt="Licensing/Star 2",('VariablesINPUT-CTR'!C39*'Subsidy rates'!B3),
IF(RatioOpt="Star 2+/3",('VariablesINPUT-CTR'!C39*'Subsidy rates'!C3),
IF(RatioOpt="Star 4",('VariablesINPUT-CTR'!C39*'Subsidy rates'!D3),
IF(RatioOpt="Star 5",('VariablesINPUT-CTR'!C39*'Subsidy rates'!E3),
))))</f>
        <v>1075</v>
      </c>
      <c r="G65" s="261">
        <f>IF(RatioOpt="Licensing/Star 2",('VariablesINPUT-CTR'!C40*'Subsidy rates'!B4),
IF(RatioOpt="Star 2+/3",('VariablesINPUT-CTR'!C40*'Subsidy rates'!C4),
IF(RatioOpt="Star 4",('VariablesINPUT-CTR'!C40*'Subsidy rates'!D4),
IF(RatioOpt="Star 5",('VariablesINPUT-CTR'!C40*'Subsidy rates'!E4),
))))</f>
        <v>775</v>
      </c>
      <c r="H65" s="261">
        <f>IF(RatioOpt="Licensing/Star 2",('VariablesINPUT-CTR'!C41*'Subsidy rates'!B5),
IF(RatioOpt="Star 2+/3",('VariablesINPUT-CTR'!C41*'Subsidy rates'!C5),
IF(RatioOpt="Star 4",('VariablesINPUT-CTR'!C41*'Subsidy rates'!D5),
IF(RatioOpt="Star 5",('VariablesINPUT-CTR'!C41*'Subsidy rates'!E5),
))))</f>
        <v>700</v>
      </c>
      <c r="I65" s="261">
        <f>IF(RatioOpt="Licensing/Star 2",('VariablesINPUT-CTR'!C42*'Subsidy rates'!B6),
IF(RatioOpt="Star 2+/3",('VariablesINPUT-CTR'!C42*'Subsidy rates'!C6),
IF(RatioOpt="Star 4",('VariablesINPUT-CTR'!C42*'Subsidy rates'!D6),
IF(RatioOpt="Star 5",('VariablesINPUT-CTR'!C42*'Subsidy rates'!E6),
))))</f>
        <v>700</v>
      </c>
      <c r="J65" s="261">
        <f>IF(RatioOpt="Licensing/Star 2",('VariablesINPUT-CTR'!C43*'Subsidy rates'!B7),
IF(RatioOpt="Star 2+/3",('VariablesINPUT-CTR'!C43*'Subsidy rates'!C7),
IF(RatioOpt="Star 4",('VariablesINPUT-CTR'!C43*'Subsidy rates'!D7),
IF(RatioOpt="Star 5",('VariablesINPUT-CTR'!C43*'Subsidy rates'!E7),
))))</f>
        <v>500</v>
      </c>
    </row>
    <row r="66" spans="1:11">
      <c r="A66" s="77"/>
      <c r="B66" s="77" t="s">
        <v>162</v>
      </c>
      <c r="D66" s="271"/>
      <c r="E66" s="29"/>
      <c r="G66" s="12">
        <f>D64*8%</f>
        <v>94545.220799999996</v>
      </c>
    </row>
    <row r="67" spans="1:11">
      <c r="A67" s="77"/>
      <c r="B67" s="270" t="s">
        <v>163</v>
      </c>
      <c r="D67" s="65">
        <f>SUM(D63:D66)</f>
        <v>1259107.26</v>
      </c>
      <c r="E67" s="30" t="s">
        <v>164</v>
      </c>
      <c r="G67" s="12">
        <f>SUM(G66,V12)</f>
        <v>106632.65049599999</v>
      </c>
    </row>
    <row r="68" spans="1:11">
      <c r="K68" s="2"/>
    </row>
    <row r="69" spans="1:11">
      <c r="B69" s="275" t="s">
        <v>165</v>
      </c>
    </row>
    <row r="70" spans="1:11">
      <c r="B70" s="34" t="s">
        <v>166</v>
      </c>
      <c r="C70" s="273">
        <f>EnrollEffic</f>
        <v>0.85</v>
      </c>
      <c r="D70" s="31">
        <f>D67-C70*D67</f>
        <v>188866.08899999992</v>
      </c>
    </row>
    <row r="71" spans="1:11">
      <c r="B71" s="34" t="s">
        <v>167</v>
      </c>
      <c r="C71" s="273">
        <f>BadDebt</f>
        <v>0.03</v>
      </c>
      <c r="D71" s="274">
        <f>C71*D67</f>
        <v>37773.217799999999</v>
      </c>
      <c r="H71" s="283"/>
    </row>
    <row r="72" spans="1:11">
      <c r="D72" s="65">
        <f>SUM(D70-D71)</f>
        <v>151092.87119999994</v>
      </c>
      <c r="E72" s="540">
        <f>D72-(D72*2)</f>
        <v>-151092.87119999994</v>
      </c>
      <c r="H72" s="283"/>
    </row>
    <row r="73" spans="1:11" ht="17">
      <c r="B73" s="77" t="s">
        <v>168</v>
      </c>
      <c r="D73" s="284">
        <f>IF('VariablesINPUT-CTR'!C16='VariablesINPUT-CTR'!F16,IF('VariablesINPUT-CTR'!C17='VariablesINPUT-CTR'!E17,GRT,IF('VariablesINPUT-CTR'!C17='VariablesINPUT-CTR'!F17,('Quality Center Profile'!D64*'Quality Center Profile'!C57),0)),0)</f>
        <v>0</v>
      </c>
      <c r="H73" s="285"/>
    </row>
    <row r="74" spans="1:11">
      <c r="B74" t="s">
        <v>169</v>
      </c>
      <c r="D74" s="25">
        <f>D67-D72</f>
        <v>1108014.3888000001</v>
      </c>
    </row>
    <row r="75" spans="1:11">
      <c r="B75" s="276" t="s">
        <v>170</v>
      </c>
      <c r="C75" s="276"/>
      <c r="D75" s="277">
        <f>D74-D59</f>
        <v>27812.007480566856</v>
      </c>
      <c r="E75" s="278">
        <f>D75/D58</f>
        <v>2.6038402924980355E-2</v>
      </c>
      <c r="F75" s="276" t="s">
        <v>137</v>
      </c>
    </row>
  </sheetData>
  <mergeCells count="1">
    <mergeCell ref="G13:I13"/>
  </mergeCells>
  <phoneticPr fontId="8" type="noConversion"/>
  <conditionalFormatting sqref="I57">
    <cfRule type="cellIs" dxfId="4" priority="2" operator="lessThan">
      <formula>0</formula>
    </cfRule>
  </conditionalFormatting>
  <conditionalFormatting sqref="X12 Z12">
    <cfRule type="cellIs" dxfId="3" priority="1" operator="equal">
      <formula>$D$53</formula>
    </cfRule>
  </conditionalFormatting>
  <dataValidations disablePrompts="1" count="1">
    <dataValidation type="list" allowBlank="1" showInputMessage="1" showErrorMessage="1" sqref="C61" xr:uid="{7EB2A0EE-D92D-6943-9251-EE265740FB08}">
      <formula1>$D$61:$E$61</formula1>
    </dataValidation>
  </dataValidations>
  <pageMargins left="0.25" right="0.25" top="0.25" bottom="0.25" header="0" footer="0"/>
  <pageSetup paperSize="5" scale="92" orientation="landscape" horizontalDpi="4294967293" verticalDpi="0" r:id="rId1"/>
  <headerFooter alignWithMargins="0"/>
  <rowBreaks count="1" manualBreakCount="1">
    <brk id="46" max="16383" man="1"/>
  </rowBreaks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11DD6-CA82-284C-B4CF-FC00B4ADCB13}">
  <sheetPr codeName="Sheet3">
    <tabColor theme="6" tint="-0.499984740745262"/>
  </sheetPr>
  <dimension ref="A1:DC166"/>
  <sheetViews>
    <sheetView tabSelected="1" zoomScaleNormal="100" workbookViewId="0">
      <selection activeCell="E19" sqref="E19"/>
    </sheetView>
  </sheetViews>
  <sheetFormatPr baseColWidth="10" defaultColWidth="8.83203125" defaultRowHeight="13"/>
  <cols>
    <col min="1" max="1" width="3.1640625" style="509" customWidth="1"/>
    <col min="2" max="2" width="31.5" style="115" customWidth="1"/>
    <col min="3" max="3" width="26" style="115" customWidth="1"/>
    <col min="4" max="4" width="35.1640625" style="115" customWidth="1"/>
    <col min="5" max="5" width="14" style="115" customWidth="1"/>
    <col min="6" max="6" width="25.83203125" style="115" customWidth="1"/>
    <col min="7" max="7" width="18.6640625" style="115" customWidth="1"/>
    <col min="8" max="8" width="20.1640625" style="115" customWidth="1"/>
    <col min="9" max="9" width="20.33203125" style="115" customWidth="1"/>
    <col min="10" max="10" width="7.5" style="632" customWidth="1"/>
    <col min="11" max="11" width="13.1640625" style="509" customWidth="1"/>
    <col min="12" max="12" width="9.6640625" style="509" bestFit="1" customWidth="1"/>
    <col min="13" max="107" width="8.83203125" style="509"/>
    <col min="108" max="16384" width="8.83203125" style="115"/>
  </cols>
  <sheetData>
    <row r="1" spans="1:107" s="509" customFormat="1" ht="14" thickBot="1">
      <c r="I1" s="641"/>
    </row>
    <row r="2" spans="1:107" ht="14">
      <c r="B2" s="602" t="s">
        <v>457</v>
      </c>
      <c r="C2" s="506"/>
      <c r="D2" s="506"/>
      <c r="E2" s="599" t="s">
        <v>458</v>
      </c>
      <c r="F2" s="598" t="s">
        <v>462</v>
      </c>
      <c r="G2" s="614" t="s">
        <v>459</v>
      </c>
      <c r="H2" s="507" t="s">
        <v>460</v>
      </c>
      <c r="I2" s="507" t="s">
        <v>461</v>
      </c>
      <c r="J2" s="633" t="s">
        <v>462</v>
      </c>
      <c r="K2" s="634"/>
    </row>
    <row r="3" spans="1:107" ht="22" customHeight="1">
      <c r="B3" s="510" t="s">
        <v>463</v>
      </c>
      <c r="C3" s="615"/>
      <c r="E3" s="314" t="s">
        <v>6</v>
      </c>
      <c r="F3" s="588" t="s">
        <v>7</v>
      </c>
      <c r="G3" s="314"/>
      <c r="H3" s="493" t="s">
        <v>7</v>
      </c>
      <c r="I3" s="493"/>
      <c r="J3" s="635"/>
      <c r="K3" s="634"/>
    </row>
    <row r="4" spans="1:107" ht="14">
      <c r="B4" s="511" t="s">
        <v>464</v>
      </c>
      <c r="C4" s="616"/>
      <c r="D4" s="616"/>
      <c r="E4" s="616"/>
      <c r="F4" s="616"/>
      <c r="G4" s="616"/>
      <c r="H4" s="616"/>
      <c r="I4" s="616"/>
    </row>
    <row r="5" spans="1:107">
      <c r="B5" s="508"/>
      <c r="I5" s="619"/>
      <c r="J5" s="636"/>
      <c r="K5" s="637"/>
    </row>
    <row r="6" spans="1:107" ht="16" customHeight="1">
      <c r="B6" s="512" t="s">
        <v>465</v>
      </c>
      <c r="C6" s="617" t="s">
        <v>466</v>
      </c>
      <c r="D6" s="618" t="s">
        <v>467</v>
      </c>
      <c r="E6" s="118"/>
      <c r="F6" s="619"/>
      <c r="I6" s="619"/>
    </row>
    <row r="7" spans="1:107" ht="14">
      <c r="B7" s="513"/>
      <c r="C7" s="444">
        <v>2</v>
      </c>
      <c r="D7" s="119" t="s">
        <v>468</v>
      </c>
      <c r="G7" s="620"/>
      <c r="H7" s="620"/>
    </row>
    <row r="8" spans="1:107" ht="15" customHeight="1">
      <c r="B8" s="508"/>
      <c r="C8" s="444">
        <v>1</v>
      </c>
      <c r="D8" s="119" t="s">
        <v>469</v>
      </c>
      <c r="G8" s="620"/>
      <c r="H8" s="620"/>
    </row>
    <row r="9" spans="1:107" ht="16" customHeight="1">
      <c r="B9" s="513"/>
      <c r="C9" s="444">
        <v>1</v>
      </c>
      <c r="D9" s="119" t="s">
        <v>470</v>
      </c>
      <c r="G9" s="620"/>
      <c r="H9" s="620"/>
    </row>
    <row r="10" spans="1:107" ht="16" customHeight="1">
      <c r="B10" s="513"/>
      <c r="C10" s="444">
        <v>1</v>
      </c>
      <c r="D10" s="119" t="s">
        <v>471</v>
      </c>
      <c r="G10" s="620"/>
      <c r="H10" s="620"/>
    </row>
    <row r="11" spans="1:107" ht="16" customHeight="1">
      <c r="B11" s="513"/>
      <c r="C11" s="444">
        <v>1</v>
      </c>
      <c r="D11" s="119" t="s">
        <v>472</v>
      </c>
      <c r="F11" s="621"/>
      <c r="G11" s="622"/>
      <c r="I11" s="620"/>
    </row>
    <row r="12" spans="1:107" ht="12.75" customHeight="1">
      <c r="B12" s="513"/>
      <c r="C12" s="120">
        <f>SUM(C7:C11)</f>
        <v>6</v>
      </c>
      <c r="D12" s="120" t="s">
        <v>473</v>
      </c>
      <c r="E12" s="118" t="str">
        <f>IF(C12&lt;7,"Cuidado infantil familiar en el hogar",IF(C12&gt;12," ","Casa de grupo"))</f>
        <v>Cuidado infantil familiar en el hogar</v>
      </c>
      <c r="G12" s="120"/>
      <c r="H12" s="120"/>
    </row>
    <row r="13" spans="1:107" ht="12.75" hidden="1" customHeight="1">
      <c r="B13" s="513"/>
      <c r="C13" s="120"/>
      <c r="D13" s="120"/>
      <c r="E13" s="121" t="str">
        <f>IF(C12&gt;12, "**ERROR-Demasiado grande**", " ")</f>
        <v xml:space="preserve"> </v>
      </c>
      <c r="G13" s="120"/>
      <c r="H13" s="120"/>
    </row>
    <row r="14" spans="1:107" customFormat="1" ht="12.75" hidden="1" customHeight="1">
      <c r="A14" s="450"/>
      <c r="B14" s="514" t="s">
        <v>20</v>
      </c>
      <c r="C14" s="478"/>
      <c r="E14" s="579"/>
      <c r="F14" s="493"/>
      <c r="G14" s="579"/>
      <c r="H14" s="2"/>
      <c r="J14" s="638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0"/>
      <c r="AS14" s="450"/>
      <c r="AT14" s="450"/>
      <c r="AU14" s="450"/>
      <c r="AV14" s="450"/>
      <c r="AW14" s="450"/>
      <c r="AX14" s="450"/>
      <c r="AY14" s="450"/>
      <c r="AZ14" s="450"/>
      <c r="BA14" s="450"/>
      <c r="BB14" s="450"/>
      <c r="BC14" s="450"/>
      <c r="BD14" s="450"/>
      <c r="BE14" s="450"/>
      <c r="BF14" s="450"/>
      <c r="BG14" s="450"/>
      <c r="BH14" s="450"/>
      <c r="BI14" s="450"/>
      <c r="BJ14" s="450"/>
      <c r="BK14" s="450"/>
      <c r="BL14" s="450"/>
      <c r="BM14" s="450"/>
      <c r="BN14" s="450"/>
      <c r="BO14" s="450"/>
      <c r="BP14" s="450"/>
      <c r="BQ14" s="450"/>
      <c r="BR14" s="450"/>
      <c r="BS14" s="450"/>
      <c r="BT14" s="450"/>
      <c r="BU14" s="450"/>
      <c r="BV14" s="450"/>
      <c r="BW14" s="450"/>
      <c r="BX14" s="450"/>
      <c r="BY14" s="450"/>
      <c r="BZ14" s="450"/>
      <c r="CA14" s="450"/>
      <c r="CB14" s="450"/>
      <c r="CC14" s="450"/>
      <c r="CD14" s="450"/>
      <c r="CE14" s="450"/>
      <c r="CF14" s="450"/>
      <c r="CG14" s="450"/>
      <c r="CH14" s="450"/>
      <c r="CI14" s="450"/>
      <c r="CJ14" s="450"/>
      <c r="CK14" s="450"/>
      <c r="CL14" s="450"/>
      <c r="CM14" s="450"/>
      <c r="CN14" s="450"/>
      <c r="CO14" s="450"/>
      <c r="CP14" s="450"/>
      <c r="CQ14" s="450"/>
      <c r="CR14" s="450"/>
      <c r="CS14" s="450"/>
      <c r="CT14" s="450"/>
      <c r="CU14" s="450"/>
      <c r="CV14" s="450"/>
      <c r="CW14" s="450"/>
      <c r="CX14" s="450"/>
      <c r="CY14" s="450"/>
      <c r="CZ14" s="450"/>
      <c r="DA14" s="450"/>
      <c r="DB14" s="450"/>
      <c r="DC14" s="450"/>
    </row>
    <row r="15" spans="1:107" customFormat="1" ht="17" hidden="1" customHeight="1">
      <c r="A15" s="450"/>
      <c r="B15" s="515" t="s">
        <v>21</v>
      </c>
      <c r="C15" s="441" t="s">
        <v>23</v>
      </c>
      <c r="E15" s="493" t="s">
        <v>23</v>
      </c>
      <c r="F15" s="493" t="s">
        <v>22</v>
      </c>
      <c r="G15" s="579"/>
      <c r="H15" s="2"/>
      <c r="I15" s="29"/>
      <c r="J15" s="638"/>
      <c r="K15" s="450"/>
      <c r="L15" s="450"/>
      <c r="M15" s="450"/>
      <c r="N15" s="450"/>
      <c r="O15" s="450"/>
      <c r="P15" s="450"/>
      <c r="Q15" s="450"/>
      <c r="R15" s="450"/>
      <c r="S15" s="450"/>
      <c r="T15" s="450"/>
      <c r="U15" s="450"/>
      <c r="V15" s="450"/>
      <c r="W15" s="450"/>
      <c r="X15" s="450"/>
      <c r="Y15" s="450"/>
      <c r="Z15" s="450"/>
      <c r="AA15" s="450"/>
      <c r="AB15" s="450"/>
      <c r="AC15" s="450"/>
      <c r="AD15" s="450"/>
      <c r="AE15" s="450"/>
      <c r="AF15" s="450"/>
      <c r="AG15" s="450"/>
      <c r="AH15" s="450"/>
      <c r="AI15" s="450"/>
      <c r="AJ15" s="450"/>
      <c r="AK15" s="450"/>
      <c r="AL15" s="450"/>
      <c r="AM15" s="450"/>
      <c r="AN15" s="450"/>
      <c r="AO15" s="450"/>
      <c r="AP15" s="450"/>
      <c r="AQ15" s="450"/>
      <c r="AR15" s="450"/>
      <c r="AS15" s="450"/>
      <c r="AT15" s="450"/>
      <c r="AU15" s="450"/>
      <c r="AV15" s="450"/>
      <c r="AW15" s="450"/>
      <c r="AX15" s="450"/>
      <c r="AY15" s="450"/>
      <c r="AZ15" s="450"/>
      <c r="BA15" s="450"/>
      <c r="BB15" s="450"/>
      <c r="BC15" s="450"/>
      <c r="BD15" s="450"/>
      <c r="BE15" s="450"/>
      <c r="BF15" s="450"/>
      <c r="BG15" s="450"/>
      <c r="BH15" s="450"/>
      <c r="BI15" s="450"/>
      <c r="BJ15" s="450"/>
      <c r="BK15" s="450"/>
      <c r="BL15" s="450"/>
      <c r="BM15" s="450"/>
      <c r="BN15" s="450"/>
      <c r="BO15" s="450"/>
      <c r="BP15" s="450"/>
      <c r="BQ15" s="450"/>
      <c r="BR15" s="450"/>
      <c r="BS15" s="450"/>
      <c r="BT15" s="450"/>
      <c r="BU15" s="450"/>
      <c r="BV15" s="450"/>
      <c r="BW15" s="450"/>
      <c r="BX15" s="450"/>
      <c r="BY15" s="450"/>
      <c r="BZ15" s="450"/>
      <c r="CA15" s="450"/>
      <c r="CB15" s="450"/>
      <c r="CC15" s="450"/>
      <c r="CD15" s="450"/>
      <c r="CE15" s="450"/>
      <c r="CF15" s="450"/>
      <c r="CG15" s="450"/>
      <c r="CH15" s="450"/>
      <c r="CI15" s="450"/>
      <c r="CJ15" s="450"/>
      <c r="CK15" s="450"/>
      <c r="CL15" s="450"/>
      <c r="CM15" s="450"/>
      <c r="CN15" s="450"/>
      <c r="CO15" s="450"/>
      <c r="CP15" s="450"/>
      <c r="CQ15" s="450"/>
      <c r="CR15" s="450"/>
      <c r="CS15" s="450"/>
      <c r="CT15" s="450"/>
      <c r="CU15" s="450"/>
      <c r="CV15" s="450"/>
      <c r="CW15" s="450"/>
      <c r="CX15" s="450"/>
      <c r="CY15" s="450"/>
      <c r="CZ15" s="450"/>
      <c r="DA15" s="450"/>
      <c r="DB15" s="450"/>
      <c r="DC15" s="450"/>
    </row>
    <row r="16" spans="1:107" customFormat="1" ht="16" hidden="1" customHeight="1">
      <c r="A16" s="450"/>
      <c r="B16" s="515" t="s">
        <v>24</v>
      </c>
      <c r="C16" s="441" t="s">
        <v>171</v>
      </c>
      <c r="E16" s="493" t="s">
        <v>26</v>
      </c>
      <c r="F16" s="493" t="s">
        <v>25</v>
      </c>
      <c r="G16" s="493" t="s">
        <v>171</v>
      </c>
      <c r="H16" s="2"/>
      <c r="J16" s="638"/>
      <c r="K16" s="450"/>
      <c r="L16" s="450"/>
      <c r="M16" s="450"/>
      <c r="N16" s="450"/>
      <c r="O16" s="450"/>
      <c r="P16" s="450"/>
      <c r="Q16" s="450"/>
      <c r="R16" s="450"/>
      <c r="S16" s="450"/>
      <c r="T16" s="450"/>
      <c r="U16" s="450"/>
      <c r="V16" s="450"/>
      <c r="W16" s="450"/>
      <c r="X16" s="450"/>
      <c r="Y16" s="450"/>
      <c r="Z16" s="450"/>
      <c r="AA16" s="450"/>
      <c r="AB16" s="450"/>
      <c r="AC16" s="450"/>
      <c r="AD16" s="450"/>
      <c r="AE16" s="450"/>
      <c r="AF16" s="450"/>
      <c r="AG16" s="450"/>
      <c r="AH16" s="450"/>
      <c r="AI16" s="450"/>
      <c r="AJ16" s="450"/>
      <c r="AK16" s="450"/>
      <c r="AL16" s="450"/>
      <c r="AM16" s="450"/>
      <c r="AN16" s="450"/>
      <c r="AO16" s="450"/>
      <c r="AP16" s="450"/>
      <c r="AQ16" s="450"/>
      <c r="AR16" s="450"/>
      <c r="AS16" s="450"/>
      <c r="AT16" s="450"/>
      <c r="AU16" s="450"/>
      <c r="AV16" s="450"/>
      <c r="AW16" s="450"/>
      <c r="AX16" s="450"/>
      <c r="AY16" s="450"/>
      <c r="AZ16" s="450"/>
      <c r="BA16" s="450"/>
      <c r="BB16" s="450"/>
      <c r="BC16" s="450"/>
      <c r="BD16" s="450"/>
      <c r="BE16" s="450"/>
      <c r="BF16" s="450"/>
      <c r="BG16" s="450"/>
      <c r="BH16" s="450"/>
      <c r="BI16" s="450"/>
      <c r="BJ16" s="450"/>
      <c r="BK16" s="450"/>
      <c r="BL16" s="450"/>
      <c r="BM16" s="450"/>
      <c r="BN16" s="450"/>
      <c r="BO16" s="450"/>
      <c r="BP16" s="450"/>
      <c r="BQ16" s="450"/>
      <c r="BR16" s="450"/>
      <c r="BS16" s="450"/>
      <c r="BT16" s="450"/>
      <c r="BU16" s="450"/>
      <c r="BV16" s="450"/>
      <c r="BW16" s="450"/>
      <c r="BX16" s="450"/>
      <c r="BY16" s="450"/>
      <c r="BZ16" s="450"/>
      <c r="CA16" s="450"/>
      <c r="CB16" s="450"/>
      <c r="CC16" s="450"/>
      <c r="CD16" s="450"/>
      <c r="CE16" s="450"/>
      <c r="CF16" s="450"/>
      <c r="CG16" s="450"/>
      <c r="CH16" s="450"/>
      <c r="CI16" s="450"/>
      <c r="CJ16" s="450"/>
      <c r="CK16" s="450"/>
      <c r="CL16" s="450"/>
      <c r="CM16" s="450"/>
      <c r="CN16" s="450"/>
      <c r="CO16" s="450"/>
      <c r="CP16" s="450"/>
      <c r="CQ16" s="450"/>
      <c r="CR16" s="450"/>
      <c r="CS16" s="450"/>
      <c r="CT16" s="450"/>
      <c r="CU16" s="450"/>
      <c r="CV16" s="450"/>
      <c r="CW16" s="450"/>
      <c r="CX16" s="450"/>
      <c r="CY16" s="450"/>
      <c r="CZ16" s="450"/>
      <c r="DA16" s="450"/>
      <c r="DB16" s="450"/>
      <c r="DC16" s="450"/>
    </row>
    <row r="17" spans="1:107" hidden="1">
      <c r="B17" s="508"/>
      <c r="E17" s="314"/>
      <c r="F17" s="314"/>
      <c r="G17" s="314"/>
    </row>
    <row r="18" spans="1:107" ht="12.75" customHeight="1">
      <c r="B18" s="508"/>
    </row>
    <row r="19" spans="1:107">
      <c r="B19" s="516" t="s">
        <v>474</v>
      </c>
      <c r="C19" s="623" t="s">
        <v>475</v>
      </c>
      <c r="E19" s="445">
        <v>0.85</v>
      </c>
      <c r="F19" s="118" t="s">
        <v>477</v>
      </c>
      <c r="H19" s="616"/>
    </row>
    <row r="20" spans="1:107">
      <c r="B20" s="517"/>
      <c r="C20" s="623" t="s">
        <v>476</v>
      </c>
      <c r="E20" s="445">
        <v>0.03</v>
      </c>
      <c r="F20" s="118" t="s">
        <v>478</v>
      </c>
    </row>
    <row r="21" spans="1:107">
      <c r="B21" s="508"/>
      <c r="G21" s="115" t="s">
        <v>33</v>
      </c>
      <c r="I21" s="314"/>
      <c r="J21" s="639"/>
    </row>
    <row r="22" spans="1:107" customFormat="1">
      <c r="A22" s="450"/>
      <c r="B22" s="518" t="s">
        <v>480</v>
      </c>
      <c r="C22" s="492" t="s">
        <v>35</v>
      </c>
      <c r="D22" s="493" t="s">
        <v>36</v>
      </c>
      <c r="E22" s="493" t="s">
        <v>37</v>
      </c>
      <c r="F22" s="493" t="s">
        <v>38</v>
      </c>
      <c r="G22" s="493" t="s">
        <v>39</v>
      </c>
      <c r="H22" s="493" t="s">
        <v>40</v>
      </c>
      <c r="I22" s="493"/>
      <c r="J22" s="633"/>
      <c r="K22" s="450"/>
      <c r="L22" s="450"/>
      <c r="M22" s="450"/>
      <c r="N22" s="450"/>
      <c r="O22" s="450"/>
      <c r="P22" s="450"/>
      <c r="Q22" s="450"/>
      <c r="R22" s="450"/>
      <c r="S22" s="450"/>
      <c r="T22" s="450"/>
      <c r="U22" s="450"/>
      <c r="V22" s="450"/>
      <c r="W22" s="450"/>
      <c r="X22" s="450"/>
      <c r="Y22" s="450"/>
      <c r="Z22" s="450"/>
      <c r="AA22" s="450"/>
      <c r="AB22" s="450"/>
      <c r="AC22" s="450"/>
      <c r="AD22" s="450"/>
      <c r="AE22" s="450"/>
      <c r="AF22" s="450"/>
      <c r="AG22" s="450"/>
      <c r="AH22" s="450"/>
      <c r="AI22" s="450"/>
      <c r="AJ22" s="450"/>
      <c r="AK22" s="450"/>
      <c r="AL22" s="450"/>
      <c r="AM22" s="450"/>
      <c r="AN22" s="450"/>
      <c r="AO22" s="450"/>
      <c r="AP22" s="450"/>
      <c r="AQ22" s="450"/>
      <c r="AR22" s="450"/>
      <c r="AS22" s="450"/>
      <c r="AT22" s="450"/>
      <c r="AU22" s="450"/>
      <c r="AV22" s="450"/>
      <c r="AW22" s="450"/>
      <c r="AX22" s="450"/>
      <c r="AY22" s="450"/>
      <c r="AZ22" s="450"/>
      <c r="BA22" s="450"/>
      <c r="BB22" s="450"/>
      <c r="BC22" s="450"/>
      <c r="BD22" s="450"/>
      <c r="BE22" s="450"/>
      <c r="BF22" s="450"/>
      <c r="BG22" s="450"/>
      <c r="BH22" s="450"/>
      <c r="BI22" s="450"/>
      <c r="BJ22" s="450"/>
      <c r="BK22" s="450"/>
      <c r="BL22" s="450"/>
      <c r="BM22" s="450"/>
      <c r="BN22" s="450"/>
      <c r="BO22" s="450"/>
      <c r="BP22" s="450"/>
      <c r="BQ22" s="450"/>
      <c r="BR22" s="450"/>
      <c r="BS22" s="450"/>
      <c r="BT22" s="450"/>
      <c r="BU22" s="450"/>
      <c r="BV22" s="450"/>
      <c r="BW22" s="450"/>
      <c r="BX22" s="450"/>
      <c r="BY22" s="450"/>
      <c r="BZ22" s="450"/>
      <c r="CA22" s="450"/>
      <c r="CB22" s="450"/>
      <c r="CC22" s="450"/>
      <c r="CD22" s="450"/>
      <c r="CE22" s="450"/>
      <c r="CF22" s="450"/>
      <c r="CG22" s="450"/>
      <c r="CH22" s="450"/>
      <c r="CI22" s="450"/>
      <c r="CJ22" s="450"/>
      <c r="CK22" s="450"/>
      <c r="CL22" s="450"/>
      <c r="CM22" s="450"/>
      <c r="CN22" s="450"/>
      <c r="CO22" s="450"/>
      <c r="CP22" s="450"/>
      <c r="CQ22" s="450"/>
      <c r="CR22" s="450"/>
      <c r="CS22" s="450"/>
      <c r="CT22" s="450"/>
      <c r="CU22" s="450"/>
      <c r="CV22" s="450"/>
      <c r="CW22" s="450"/>
      <c r="CX22" s="450"/>
      <c r="CY22" s="450"/>
      <c r="CZ22" s="450"/>
      <c r="DA22" s="450"/>
      <c r="DB22" s="450"/>
      <c r="DC22" s="450"/>
    </row>
    <row r="23" spans="1:107" customFormat="1" ht="18" customHeight="1">
      <c r="A23" s="450"/>
      <c r="B23" s="519"/>
      <c r="C23" s="609" t="s">
        <v>479</v>
      </c>
      <c r="D23" s="651" t="s">
        <v>481</v>
      </c>
      <c r="E23" s="586"/>
      <c r="F23" s="497" t="s">
        <v>43</v>
      </c>
      <c r="G23" s="493"/>
      <c r="H23" s="624"/>
      <c r="I23" s="493" t="s">
        <v>44</v>
      </c>
      <c r="J23" s="633" t="s">
        <v>46</v>
      </c>
      <c r="K23" s="449" t="s">
        <v>402</v>
      </c>
      <c r="L23" s="449" t="s">
        <v>403</v>
      </c>
      <c r="M23" s="449" t="s">
        <v>424</v>
      </c>
      <c r="N23" s="450"/>
      <c r="O23" s="450"/>
      <c r="P23" s="450"/>
      <c r="Q23" s="450"/>
      <c r="R23" s="450"/>
      <c r="S23" s="450"/>
      <c r="T23" s="450"/>
      <c r="U23" s="450"/>
      <c r="V23" s="450"/>
      <c r="W23" s="450"/>
      <c r="X23" s="450"/>
      <c r="Y23" s="450"/>
      <c r="Z23" s="450"/>
      <c r="AA23" s="450"/>
      <c r="AB23" s="450"/>
      <c r="AC23" s="450"/>
      <c r="AD23" s="450"/>
      <c r="AE23" s="450"/>
      <c r="AF23" s="450"/>
      <c r="AG23" s="450"/>
      <c r="AH23" s="450"/>
      <c r="AI23" s="450"/>
      <c r="AJ23" s="450"/>
      <c r="AK23" s="450"/>
      <c r="AL23" s="450"/>
      <c r="AM23" s="450"/>
      <c r="AN23" s="450"/>
      <c r="AO23" s="450"/>
      <c r="AP23" s="450"/>
      <c r="AQ23" s="450"/>
      <c r="AR23" s="450"/>
      <c r="AS23" s="450"/>
      <c r="AT23" s="450"/>
      <c r="AU23" s="450"/>
      <c r="AV23" s="450"/>
      <c r="AW23" s="450"/>
      <c r="AX23" s="450"/>
      <c r="AY23" s="450"/>
      <c r="AZ23" s="450"/>
      <c r="BA23" s="450"/>
      <c r="BB23" s="450"/>
      <c r="BC23" s="450"/>
      <c r="BD23" s="450"/>
      <c r="BE23" s="450"/>
      <c r="BF23" s="450"/>
      <c r="BG23" s="450"/>
      <c r="BH23" s="450"/>
      <c r="BI23" s="450"/>
      <c r="BJ23" s="450"/>
      <c r="BK23" s="450"/>
      <c r="BL23" s="450"/>
      <c r="BM23" s="450"/>
      <c r="BN23" s="450"/>
      <c r="BO23" s="450"/>
      <c r="BP23" s="450"/>
      <c r="BQ23" s="450"/>
      <c r="BR23" s="450"/>
      <c r="BS23" s="450"/>
      <c r="BT23" s="450"/>
      <c r="BU23" s="450"/>
      <c r="BV23" s="450"/>
      <c r="BW23" s="450"/>
      <c r="BX23" s="450"/>
      <c r="BY23" s="450"/>
      <c r="BZ23" s="450"/>
      <c r="CA23" s="450"/>
      <c r="CB23" s="450"/>
      <c r="CC23" s="450"/>
      <c r="CD23" s="450"/>
      <c r="CE23" s="450"/>
      <c r="CF23" s="450"/>
      <c r="CG23" s="450"/>
      <c r="CH23" s="450"/>
      <c r="CI23" s="450"/>
      <c r="CJ23" s="450"/>
      <c r="CK23" s="450"/>
      <c r="CL23" s="450"/>
      <c r="CM23" s="450"/>
      <c r="CN23" s="450"/>
      <c r="CO23" s="450"/>
      <c r="CP23" s="450"/>
      <c r="CQ23" s="450"/>
      <c r="CR23" s="450"/>
      <c r="CS23" s="450"/>
      <c r="CT23" s="450"/>
      <c r="CU23" s="450"/>
      <c r="CV23" s="450"/>
      <c r="CW23" s="450"/>
      <c r="CX23" s="450"/>
      <c r="CY23" s="450"/>
      <c r="CZ23" s="450"/>
      <c r="DA23" s="450"/>
      <c r="DB23" s="450"/>
      <c r="DC23" s="450"/>
    </row>
    <row r="24" spans="1:107" customFormat="1" ht="18" customHeight="1">
      <c r="A24" s="450"/>
      <c r="B24" s="519"/>
      <c r="C24" s="95"/>
      <c r="D24" s="96"/>
      <c r="E24" s="586"/>
      <c r="F24" s="625" t="s">
        <v>172</v>
      </c>
      <c r="G24" s="625" t="s">
        <v>173</v>
      </c>
      <c r="H24" s="624"/>
      <c r="I24" s="493"/>
      <c r="J24" s="633"/>
      <c r="K24" s="451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50"/>
      <c r="Z24" s="450"/>
      <c r="AA24" s="450"/>
      <c r="AB24" s="450"/>
      <c r="AC24" s="450"/>
      <c r="AD24" s="450"/>
      <c r="AE24" s="450"/>
      <c r="AF24" s="450"/>
      <c r="AG24" s="450"/>
      <c r="AH24" s="450"/>
      <c r="AI24" s="450"/>
      <c r="AJ24" s="450"/>
      <c r="AK24" s="450"/>
      <c r="AL24" s="450"/>
      <c r="AM24" s="450"/>
      <c r="AN24" s="450"/>
      <c r="AO24" s="450"/>
      <c r="AP24" s="450"/>
      <c r="AQ24" s="450"/>
      <c r="AR24" s="450"/>
      <c r="AS24" s="450"/>
      <c r="AT24" s="450"/>
      <c r="AU24" s="450"/>
      <c r="AV24" s="450"/>
      <c r="AW24" s="450"/>
      <c r="AX24" s="450"/>
      <c r="AY24" s="450"/>
      <c r="AZ24" s="450"/>
      <c r="BA24" s="450"/>
      <c r="BB24" s="450"/>
      <c r="BC24" s="450"/>
      <c r="BD24" s="450"/>
      <c r="BE24" s="450"/>
      <c r="BF24" s="450"/>
      <c r="BG24" s="450"/>
      <c r="BH24" s="450"/>
      <c r="BI24" s="450"/>
      <c r="BJ24" s="450"/>
      <c r="BK24" s="450"/>
      <c r="BL24" s="450"/>
      <c r="BM24" s="450"/>
      <c r="BN24" s="450"/>
      <c r="BO24" s="450"/>
      <c r="BP24" s="450"/>
      <c r="BQ24" s="450"/>
      <c r="BR24" s="450"/>
      <c r="BS24" s="450"/>
      <c r="BT24" s="450"/>
      <c r="BU24" s="450"/>
      <c r="BV24" s="450"/>
      <c r="BW24" s="450"/>
      <c r="BX24" s="450"/>
      <c r="BY24" s="450"/>
      <c r="BZ24" s="450"/>
      <c r="CA24" s="450"/>
      <c r="CB24" s="450"/>
      <c r="CC24" s="450"/>
      <c r="CD24" s="450"/>
      <c r="CE24" s="450"/>
      <c r="CF24" s="450"/>
      <c r="CG24" s="450"/>
      <c r="CH24" s="450"/>
      <c r="CI24" s="450"/>
      <c r="CJ24" s="450"/>
      <c r="CK24" s="450"/>
      <c r="CL24" s="450"/>
      <c r="CM24" s="450"/>
      <c r="CN24" s="450"/>
      <c r="CO24" s="450"/>
      <c r="CP24" s="450"/>
      <c r="CQ24" s="450"/>
      <c r="CR24" s="450"/>
      <c r="CS24" s="450"/>
      <c r="CT24" s="450"/>
      <c r="CU24" s="450"/>
      <c r="CV24" s="450"/>
      <c r="CW24" s="450"/>
      <c r="CX24" s="450"/>
      <c r="CY24" s="450"/>
      <c r="CZ24" s="450"/>
      <c r="DA24" s="450"/>
      <c r="DB24" s="450"/>
      <c r="DC24" s="450"/>
    </row>
    <row r="25" spans="1:107" customFormat="1" ht="19" hidden="1" customHeight="1">
      <c r="A25" s="450"/>
      <c r="B25" s="520"/>
      <c r="C25" s="586" t="s">
        <v>50</v>
      </c>
      <c r="E25" s="493"/>
      <c r="F25" s="587">
        <v>0</v>
      </c>
      <c r="G25" s="587">
        <v>0</v>
      </c>
      <c r="H25" s="115"/>
      <c r="I25" s="115"/>
      <c r="J25" s="638"/>
      <c r="K25" s="450"/>
      <c r="L25" s="450"/>
      <c r="M25" s="450"/>
      <c r="N25" s="450"/>
      <c r="O25" s="450"/>
      <c r="P25" s="450"/>
      <c r="Q25" s="450"/>
      <c r="R25" s="450"/>
      <c r="S25" s="450"/>
      <c r="T25" s="450"/>
      <c r="U25" s="450"/>
      <c r="V25" s="450"/>
      <c r="W25" s="450"/>
      <c r="X25" s="450"/>
      <c r="Y25" s="450"/>
      <c r="Z25" s="450"/>
      <c r="AA25" s="450"/>
      <c r="AB25" s="450"/>
      <c r="AC25" s="450"/>
      <c r="AD25" s="450"/>
      <c r="AE25" s="450"/>
      <c r="AF25" s="450"/>
      <c r="AG25" s="450"/>
      <c r="AH25" s="450"/>
      <c r="AI25" s="450"/>
      <c r="AJ25" s="450"/>
      <c r="AK25" s="450"/>
      <c r="AL25" s="450"/>
      <c r="AM25" s="450"/>
      <c r="AN25" s="450"/>
      <c r="AO25" s="450"/>
      <c r="AP25" s="450"/>
      <c r="AQ25" s="450"/>
      <c r="AR25" s="450"/>
      <c r="AS25" s="450"/>
      <c r="AT25" s="450"/>
      <c r="AU25" s="450"/>
      <c r="AV25" s="450"/>
      <c r="AW25" s="450"/>
      <c r="AX25" s="450"/>
      <c r="AY25" s="450"/>
      <c r="AZ25" s="450"/>
      <c r="BA25" s="450"/>
      <c r="BB25" s="450"/>
      <c r="BC25" s="450"/>
      <c r="BD25" s="450"/>
      <c r="BE25" s="450"/>
      <c r="BF25" s="450"/>
      <c r="BG25" s="450"/>
      <c r="BH25" s="450"/>
      <c r="BI25" s="450"/>
      <c r="BJ25" s="450"/>
      <c r="BK25" s="450"/>
      <c r="BL25" s="450"/>
      <c r="BM25" s="450"/>
      <c r="BN25" s="450"/>
      <c r="BO25" s="450"/>
      <c r="BP25" s="450"/>
      <c r="BQ25" s="450"/>
      <c r="BR25" s="450"/>
      <c r="BS25" s="450"/>
      <c r="BT25" s="450"/>
      <c r="BU25" s="450"/>
      <c r="BV25" s="450"/>
      <c r="BW25" s="450"/>
      <c r="BX25" s="450"/>
      <c r="BY25" s="450"/>
      <c r="BZ25" s="450"/>
      <c r="CA25" s="450"/>
      <c r="CB25" s="450"/>
      <c r="CC25" s="450"/>
      <c r="CD25" s="450"/>
      <c r="CE25" s="450"/>
      <c r="CF25" s="450"/>
      <c r="CG25" s="450"/>
      <c r="CH25" s="450"/>
      <c r="CI25" s="450"/>
      <c r="CJ25" s="450"/>
      <c r="CK25" s="450"/>
      <c r="CL25" s="450"/>
      <c r="CM25" s="450"/>
      <c r="CN25" s="450"/>
      <c r="CO25" s="450"/>
      <c r="CP25" s="450"/>
      <c r="CQ25" s="450"/>
      <c r="CR25" s="450"/>
      <c r="CS25" s="450"/>
      <c r="CT25" s="450"/>
      <c r="CU25" s="450"/>
      <c r="CV25" s="450"/>
      <c r="CW25" s="450"/>
      <c r="CX25" s="450"/>
      <c r="CY25" s="450"/>
      <c r="CZ25" s="450"/>
      <c r="DA25" s="450"/>
      <c r="DB25" s="450"/>
      <c r="DC25" s="450"/>
    </row>
    <row r="26" spans="1:107" customFormat="1" ht="17" hidden="1" customHeight="1">
      <c r="A26" s="450"/>
      <c r="B26" s="521"/>
      <c r="C26" s="115"/>
      <c r="D26" s="115"/>
      <c r="E26" s="115"/>
      <c r="F26" s="115"/>
      <c r="G26" s="115"/>
      <c r="H26" s="115"/>
      <c r="I26" s="115"/>
      <c r="J26" s="638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0"/>
      <c r="V26" s="450"/>
      <c r="W26" s="450"/>
      <c r="X26" s="450"/>
      <c r="Y26" s="450"/>
      <c r="Z26" s="450"/>
      <c r="AA26" s="450"/>
      <c r="AB26" s="450"/>
      <c r="AC26" s="450"/>
      <c r="AD26" s="450"/>
      <c r="AE26" s="450"/>
      <c r="AF26" s="450"/>
      <c r="AG26" s="450"/>
      <c r="AH26" s="450"/>
      <c r="AI26" s="450"/>
      <c r="AJ26" s="450"/>
      <c r="AK26" s="450"/>
      <c r="AL26" s="450"/>
      <c r="AM26" s="450"/>
      <c r="AN26" s="450"/>
      <c r="AO26" s="450"/>
      <c r="AP26" s="450"/>
      <c r="AQ26" s="450"/>
      <c r="AR26" s="450"/>
      <c r="AS26" s="450"/>
      <c r="AT26" s="450"/>
      <c r="AU26" s="450"/>
      <c r="AV26" s="450"/>
      <c r="AW26" s="450"/>
      <c r="AX26" s="450"/>
      <c r="AY26" s="450"/>
      <c r="AZ26" s="450"/>
      <c r="BA26" s="450"/>
      <c r="BB26" s="450"/>
      <c r="BC26" s="450"/>
      <c r="BD26" s="450"/>
      <c r="BE26" s="450"/>
      <c r="BF26" s="450"/>
      <c r="BG26" s="450"/>
      <c r="BH26" s="450"/>
      <c r="BI26" s="450"/>
      <c r="BJ26" s="450"/>
      <c r="BK26" s="450"/>
      <c r="BL26" s="450"/>
      <c r="BM26" s="450"/>
      <c r="BN26" s="450"/>
      <c r="BO26" s="450"/>
      <c r="BP26" s="450"/>
      <c r="BQ26" s="450"/>
      <c r="BR26" s="450"/>
      <c r="BS26" s="450"/>
      <c r="BT26" s="450"/>
      <c r="BU26" s="450"/>
      <c r="BV26" s="450"/>
      <c r="BW26" s="450"/>
      <c r="BX26" s="450"/>
      <c r="BY26" s="450"/>
      <c r="BZ26" s="450"/>
      <c r="CA26" s="450"/>
      <c r="CB26" s="450"/>
      <c r="CC26" s="450"/>
      <c r="CD26" s="450"/>
      <c r="CE26" s="450"/>
      <c r="CF26" s="450"/>
      <c r="CG26" s="450"/>
      <c r="CH26" s="450"/>
      <c r="CI26" s="450"/>
      <c r="CJ26" s="450"/>
      <c r="CK26" s="450"/>
      <c r="CL26" s="450"/>
      <c r="CM26" s="450"/>
      <c r="CN26" s="450"/>
      <c r="CO26" s="450"/>
      <c r="CP26" s="450"/>
      <c r="CQ26" s="450"/>
      <c r="CR26" s="450"/>
      <c r="CS26" s="450"/>
      <c r="CT26" s="450"/>
      <c r="CU26" s="450"/>
      <c r="CV26" s="450"/>
      <c r="CW26" s="450"/>
      <c r="CX26" s="450"/>
      <c r="CY26" s="450"/>
      <c r="CZ26" s="450"/>
      <c r="DA26" s="450"/>
      <c r="DB26" s="450"/>
      <c r="DC26" s="450"/>
    </row>
    <row r="27" spans="1:107" customFormat="1" hidden="1">
      <c r="A27" s="450"/>
      <c r="B27" s="518" t="s">
        <v>89</v>
      </c>
      <c r="C27" s="29" t="s">
        <v>52</v>
      </c>
      <c r="D27" s="441" t="s">
        <v>35</v>
      </c>
      <c r="E27" s="5" t="s">
        <v>53</v>
      </c>
      <c r="J27" s="638"/>
      <c r="K27" s="450"/>
      <c r="L27" s="450"/>
      <c r="M27" s="450"/>
      <c r="N27" s="450"/>
      <c r="O27" s="450"/>
      <c r="P27" s="450"/>
      <c r="Q27" s="450"/>
      <c r="R27" s="450"/>
      <c r="S27" s="450"/>
      <c r="T27" s="450"/>
      <c r="U27" s="450"/>
      <c r="V27" s="450"/>
      <c r="W27" s="450"/>
      <c r="X27" s="450"/>
      <c r="Y27" s="450"/>
      <c r="Z27" s="450"/>
      <c r="AA27" s="450"/>
      <c r="AB27" s="450"/>
      <c r="AC27" s="450"/>
      <c r="AD27" s="450"/>
      <c r="AE27" s="450"/>
      <c r="AF27" s="450"/>
      <c r="AG27" s="450"/>
      <c r="AH27" s="450"/>
      <c r="AI27" s="450"/>
      <c r="AJ27" s="450"/>
      <c r="AK27" s="450"/>
      <c r="AL27" s="450"/>
      <c r="AM27" s="450"/>
      <c r="AN27" s="450"/>
      <c r="AO27" s="450"/>
      <c r="AP27" s="450"/>
      <c r="AQ27" s="450"/>
      <c r="AR27" s="450"/>
      <c r="AS27" s="450"/>
      <c r="AT27" s="450"/>
      <c r="AU27" s="450"/>
      <c r="AV27" s="450"/>
      <c r="AW27" s="450"/>
      <c r="AX27" s="450"/>
      <c r="AY27" s="450"/>
      <c r="AZ27" s="450"/>
      <c r="BA27" s="450"/>
      <c r="BB27" s="450"/>
      <c r="BC27" s="450"/>
      <c r="BD27" s="450"/>
      <c r="BE27" s="450"/>
      <c r="BF27" s="450"/>
      <c r="BG27" s="450"/>
      <c r="BH27" s="450"/>
      <c r="BI27" s="450"/>
      <c r="BJ27" s="450"/>
      <c r="BK27" s="450"/>
      <c r="BL27" s="450"/>
      <c r="BM27" s="450"/>
      <c r="BN27" s="450"/>
      <c r="BO27" s="450"/>
      <c r="BP27" s="450"/>
      <c r="BQ27" s="450"/>
      <c r="BR27" s="450"/>
      <c r="BS27" s="450"/>
      <c r="BT27" s="450"/>
      <c r="BU27" s="450"/>
      <c r="BV27" s="450"/>
      <c r="BW27" s="450"/>
      <c r="BX27" s="450"/>
      <c r="BY27" s="450"/>
      <c r="BZ27" s="450"/>
      <c r="CA27" s="450"/>
      <c r="CB27" s="450"/>
      <c r="CC27" s="450"/>
      <c r="CD27" s="450"/>
      <c r="CE27" s="450"/>
      <c r="CF27" s="450"/>
      <c r="CG27" s="450"/>
      <c r="CH27" s="450"/>
      <c r="CI27" s="450"/>
      <c r="CJ27" s="450"/>
      <c r="CK27" s="450"/>
      <c r="CL27" s="450"/>
      <c r="CM27" s="450"/>
      <c r="CN27" s="450"/>
      <c r="CO27" s="450"/>
      <c r="CP27" s="450"/>
      <c r="CQ27" s="450"/>
      <c r="CR27" s="450"/>
      <c r="CS27" s="450"/>
      <c r="CT27" s="450"/>
      <c r="CU27" s="450"/>
      <c r="CV27" s="450"/>
      <c r="CW27" s="450"/>
      <c r="CX27" s="450"/>
      <c r="CY27" s="450"/>
      <c r="CZ27" s="450"/>
      <c r="DA27" s="450"/>
      <c r="DB27" s="450"/>
      <c r="DC27" s="450"/>
    </row>
    <row r="28" spans="1:107" customFormat="1" ht="18" hidden="1" customHeight="1">
      <c r="A28" s="450"/>
      <c r="B28" s="522"/>
      <c r="C28" s="29" t="s">
        <v>54</v>
      </c>
      <c r="D28" s="440">
        <v>10</v>
      </c>
      <c r="E28" s="5"/>
      <c r="J28" s="638"/>
      <c r="K28" s="450"/>
      <c r="L28" s="450"/>
      <c r="M28" s="450"/>
      <c r="N28" s="450"/>
      <c r="O28" s="450"/>
      <c r="P28" s="450"/>
      <c r="Q28" s="450"/>
      <c r="R28" s="450"/>
      <c r="S28" s="450"/>
      <c r="T28" s="450"/>
      <c r="U28" s="450"/>
      <c r="V28" s="450"/>
      <c r="W28" s="450"/>
      <c r="X28" s="450"/>
      <c r="Y28" s="450"/>
      <c r="Z28" s="450"/>
      <c r="AA28" s="450"/>
      <c r="AB28" s="450"/>
      <c r="AC28" s="450"/>
      <c r="AD28" s="450"/>
      <c r="AE28" s="450"/>
      <c r="AF28" s="450"/>
      <c r="AG28" s="450"/>
      <c r="AH28" s="450"/>
      <c r="AI28" s="450"/>
      <c r="AJ28" s="450"/>
      <c r="AK28" s="450"/>
      <c r="AL28" s="450"/>
      <c r="AM28" s="450"/>
      <c r="AN28" s="450"/>
      <c r="AO28" s="450"/>
      <c r="AP28" s="450"/>
      <c r="AQ28" s="450"/>
      <c r="AR28" s="450"/>
      <c r="AS28" s="450"/>
      <c r="AT28" s="450"/>
      <c r="AU28" s="450"/>
      <c r="AV28" s="450"/>
      <c r="AW28" s="450"/>
      <c r="AX28" s="450"/>
      <c r="AY28" s="450"/>
      <c r="AZ28" s="450"/>
      <c r="BA28" s="450"/>
      <c r="BB28" s="450"/>
      <c r="BC28" s="450"/>
      <c r="BD28" s="450"/>
      <c r="BE28" s="450"/>
      <c r="BF28" s="450"/>
      <c r="BG28" s="450"/>
      <c r="BH28" s="450"/>
      <c r="BI28" s="450"/>
      <c r="BJ28" s="450"/>
      <c r="BK28" s="450"/>
      <c r="BL28" s="450"/>
      <c r="BM28" s="450"/>
      <c r="BN28" s="450"/>
      <c r="BO28" s="450"/>
      <c r="BP28" s="450"/>
      <c r="BQ28" s="450"/>
      <c r="BR28" s="450"/>
      <c r="BS28" s="450"/>
      <c r="BT28" s="450"/>
      <c r="BU28" s="450"/>
      <c r="BV28" s="450"/>
      <c r="BW28" s="450"/>
      <c r="BX28" s="450"/>
      <c r="BY28" s="450"/>
      <c r="BZ28" s="450"/>
      <c r="CA28" s="450"/>
      <c r="CB28" s="450"/>
      <c r="CC28" s="450"/>
      <c r="CD28" s="450"/>
      <c r="CE28" s="450"/>
      <c r="CF28" s="450"/>
      <c r="CG28" s="450"/>
      <c r="CH28" s="450"/>
      <c r="CI28" s="450"/>
      <c r="CJ28" s="450"/>
      <c r="CK28" s="450"/>
      <c r="CL28" s="450"/>
      <c r="CM28" s="450"/>
      <c r="CN28" s="450"/>
      <c r="CO28" s="450"/>
      <c r="CP28" s="450"/>
      <c r="CQ28" s="450"/>
      <c r="CR28" s="450"/>
      <c r="CS28" s="450"/>
      <c r="CT28" s="450"/>
      <c r="CU28" s="450"/>
      <c r="CV28" s="450"/>
      <c r="CW28" s="450"/>
      <c r="CX28" s="450"/>
      <c r="CY28" s="450"/>
      <c r="CZ28" s="450"/>
      <c r="DA28" s="450"/>
      <c r="DB28" s="450"/>
      <c r="DC28" s="450"/>
    </row>
    <row r="29" spans="1:107" customFormat="1" ht="17" hidden="1" customHeight="1">
      <c r="A29" s="450"/>
      <c r="B29" s="425"/>
      <c r="C29" s="29" t="s">
        <v>55</v>
      </c>
      <c r="D29" s="440">
        <v>10</v>
      </c>
      <c r="E29" s="5" t="s">
        <v>174</v>
      </c>
      <c r="J29" s="638"/>
      <c r="K29" s="450"/>
      <c r="L29" s="450"/>
      <c r="M29" s="450"/>
      <c r="N29" s="450"/>
      <c r="O29" s="450"/>
      <c r="P29" s="450"/>
      <c r="Q29" s="450"/>
      <c r="R29" s="450"/>
      <c r="S29" s="450"/>
      <c r="T29" s="450"/>
      <c r="U29" s="450"/>
      <c r="V29" s="450"/>
      <c r="W29" s="450"/>
      <c r="X29" s="450"/>
      <c r="Y29" s="450"/>
      <c r="Z29" s="450"/>
      <c r="AA29" s="450"/>
      <c r="AB29" s="450"/>
      <c r="AC29" s="450"/>
      <c r="AD29" s="450"/>
      <c r="AE29" s="450"/>
      <c r="AF29" s="450"/>
      <c r="AG29" s="450"/>
      <c r="AH29" s="450"/>
      <c r="AI29" s="450"/>
      <c r="AJ29" s="450"/>
      <c r="AK29" s="450"/>
      <c r="AL29" s="450"/>
      <c r="AM29" s="450"/>
      <c r="AN29" s="450"/>
      <c r="AO29" s="450"/>
      <c r="AP29" s="450"/>
      <c r="AQ29" s="450"/>
      <c r="AR29" s="450"/>
      <c r="AS29" s="450"/>
      <c r="AT29" s="450"/>
      <c r="AU29" s="450"/>
      <c r="AV29" s="450"/>
      <c r="AW29" s="450"/>
      <c r="AX29" s="450"/>
      <c r="AY29" s="450"/>
      <c r="AZ29" s="450"/>
      <c r="BA29" s="450"/>
      <c r="BB29" s="450"/>
      <c r="BC29" s="450"/>
      <c r="BD29" s="450"/>
      <c r="BE29" s="450"/>
      <c r="BF29" s="450"/>
      <c r="BG29" s="450"/>
      <c r="BH29" s="450"/>
      <c r="BI29" s="450"/>
      <c r="BJ29" s="450"/>
      <c r="BK29" s="450"/>
      <c r="BL29" s="450"/>
      <c r="BM29" s="450"/>
      <c r="BN29" s="450"/>
      <c r="BO29" s="450"/>
      <c r="BP29" s="450"/>
      <c r="BQ29" s="450"/>
      <c r="BR29" s="450"/>
      <c r="BS29" s="450"/>
      <c r="BT29" s="450"/>
      <c r="BU29" s="450"/>
      <c r="BV29" s="450"/>
      <c r="BW29" s="450"/>
      <c r="BX29" s="450"/>
      <c r="BY29" s="450"/>
      <c r="BZ29" s="450"/>
      <c r="CA29" s="450"/>
      <c r="CB29" s="450"/>
      <c r="CC29" s="450"/>
      <c r="CD29" s="450"/>
      <c r="CE29" s="450"/>
      <c r="CF29" s="450"/>
      <c r="CG29" s="450"/>
      <c r="CH29" s="450"/>
      <c r="CI29" s="450"/>
      <c r="CJ29" s="450"/>
      <c r="CK29" s="450"/>
      <c r="CL29" s="450"/>
      <c r="CM29" s="450"/>
      <c r="CN29" s="450"/>
      <c r="CO29" s="450"/>
      <c r="CP29" s="450"/>
      <c r="CQ29" s="450"/>
      <c r="CR29" s="450"/>
      <c r="CS29" s="450"/>
      <c r="CT29" s="450"/>
      <c r="CU29" s="450"/>
      <c r="CV29" s="450"/>
      <c r="CW29" s="450"/>
      <c r="CX29" s="450"/>
      <c r="CY29" s="450"/>
      <c r="CZ29" s="450"/>
      <c r="DA29" s="450"/>
      <c r="DB29" s="450"/>
      <c r="DC29" s="450"/>
    </row>
    <row r="30" spans="1:107" customFormat="1" ht="16" hidden="1" customHeight="1">
      <c r="A30" s="450"/>
      <c r="B30" s="425"/>
      <c r="J30" s="638"/>
      <c r="K30" s="450"/>
      <c r="L30" s="450"/>
      <c r="M30" s="450"/>
      <c r="N30" s="450"/>
      <c r="O30" s="450"/>
      <c r="P30" s="450"/>
      <c r="Q30" s="450"/>
      <c r="R30" s="450"/>
      <c r="S30" s="450"/>
      <c r="T30" s="450"/>
      <c r="U30" s="450"/>
      <c r="V30" s="450"/>
      <c r="W30" s="450"/>
      <c r="X30" s="450"/>
      <c r="Y30" s="450"/>
      <c r="Z30" s="450"/>
      <c r="AA30" s="450"/>
      <c r="AB30" s="450"/>
      <c r="AC30" s="450"/>
      <c r="AD30" s="450"/>
      <c r="AE30" s="450"/>
      <c r="AF30" s="450"/>
      <c r="AG30" s="450"/>
      <c r="AH30" s="450"/>
      <c r="AI30" s="450"/>
      <c r="AJ30" s="450"/>
      <c r="AK30" s="450"/>
      <c r="AL30" s="450"/>
      <c r="AM30" s="450"/>
      <c r="AN30" s="450"/>
      <c r="AO30" s="450"/>
      <c r="AP30" s="450"/>
      <c r="AQ30" s="450"/>
      <c r="AR30" s="450"/>
      <c r="AS30" s="450"/>
      <c r="AT30" s="450"/>
      <c r="AU30" s="450"/>
      <c r="AV30" s="450"/>
      <c r="AW30" s="450"/>
      <c r="AX30" s="450"/>
      <c r="AY30" s="450"/>
      <c r="AZ30" s="450"/>
      <c r="BA30" s="450"/>
      <c r="BB30" s="450"/>
      <c r="BC30" s="450"/>
      <c r="BD30" s="450"/>
      <c r="BE30" s="450"/>
      <c r="BF30" s="450"/>
      <c r="BG30" s="450"/>
      <c r="BH30" s="450"/>
      <c r="BI30" s="450"/>
      <c r="BJ30" s="450"/>
      <c r="BK30" s="450"/>
      <c r="BL30" s="450"/>
      <c r="BM30" s="450"/>
      <c r="BN30" s="450"/>
      <c r="BO30" s="450"/>
      <c r="BP30" s="450"/>
      <c r="BQ30" s="450"/>
      <c r="BR30" s="450"/>
      <c r="BS30" s="450"/>
      <c r="BT30" s="450"/>
      <c r="BU30" s="450"/>
      <c r="BV30" s="450"/>
      <c r="BW30" s="450"/>
      <c r="BX30" s="450"/>
      <c r="BY30" s="450"/>
      <c r="BZ30" s="450"/>
      <c r="CA30" s="450"/>
      <c r="CB30" s="450"/>
      <c r="CC30" s="450"/>
      <c r="CD30" s="450"/>
      <c r="CE30" s="450"/>
      <c r="CF30" s="450"/>
      <c r="CG30" s="450"/>
      <c r="CH30" s="450"/>
      <c r="CI30" s="450"/>
      <c r="CJ30" s="450"/>
      <c r="CK30" s="450"/>
      <c r="CL30" s="450"/>
      <c r="CM30" s="450"/>
      <c r="CN30" s="450"/>
      <c r="CO30" s="450"/>
      <c r="CP30" s="450"/>
      <c r="CQ30" s="450"/>
      <c r="CR30" s="450"/>
      <c r="CS30" s="450"/>
      <c r="CT30" s="450"/>
      <c r="CU30" s="450"/>
      <c r="CV30" s="450"/>
      <c r="CW30" s="450"/>
      <c r="CX30" s="450"/>
      <c r="CY30" s="450"/>
      <c r="CZ30" s="450"/>
      <c r="DA30" s="450"/>
      <c r="DB30" s="450"/>
      <c r="DC30" s="450"/>
    </row>
    <row r="31" spans="1:107" customFormat="1" hidden="1">
      <c r="A31" s="450"/>
      <c r="B31" s="518" t="s">
        <v>175</v>
      </c>
      <c r="J31" s="638"/>
      <c r="K31" s="450"/>
      <c r="L31" s="450"/>
      <c r="M31" s="450"/>
      <c r="N31" s="450"/>
      <c r="O31" s="450"/>
      <c r="P31" s="450"/>
      <c r="Q31" s="450"/>
      <c r="R31" s="450"/>
      <c r="S31" s="450"/>
      <c r="T31" s="450"/>
      <c r="U31" s="450"/>
      <c r="V31" s="450"/>
      <c r="W31" s="450"/>
      <c r="X31" s="450"/>
      <c r="Y31" s="450"/>
      <c r="Z31" s="450"/>
      <c r="AA31" s="450"/>
      <c r="AB31" s="450"/>
      <c r="AC31" s="450"/>
      <c r="AD31" s="450"/>
      <c r="AE31" s="450"/>
      <c r="AF31" s="450"/>
      <c r="AG31" s="450"/>
      <c r="AH31" s="450"/>
      <c r="AI31" s="450"/>
      <c r="AJ31" s="450"/>
      <c r="AK31" s="450"/>
      <c r="AL31" s="450"/>
      <c r="AM31" s="450"/>
      <c r="AN31" s="450"/>
      <c r="AO31" s="450"/>
      <c r="AP31" s="450"/>
      <c r="AQ31" s="450"/>
      <c r="AR31" s="450"/>
      <c r="AS31" s="450"/>
      <c r="AT31" s="450"/>
      <c r="AU31" s="450"/>
      <c r="AV31" s="450"/>
      <c r="AW31" s="450"/>
      <c r="AX31" s="450"/>
      <c r="AY31" s="450"/>
      <c r="AZ31" s="450"/>
      <c r="BA31" s="450"/>
      <c r="BB31" s="450"/>
      <c r="BC31" s="450"/>
      <c r="BD31" s="450"/>
      <c r="BE31" s="450"/>
      <c r="BF31" s="450"/>
      <c r="BG31" s="450"/>
      <c r="BH31" s="450"/>
      <c r="BI31" s="450"/>
      <c r="BJ31" s="450"/>
      <c r="BK31" s="450"/>
      <c r="BL31" s="450"/>
      <c r="BM31" s="450"/>
      <c r="BN31" s="450"/>
      <c r="BO31" s="450"/>
      <c r="BP31" s="450"/>
      <c r="BQ31" s="450"/>
      <c r="BR31" s="450"/>
      <c r="BS31" s="450"/>
      <c r="BT31" s="450"/>
      <c r="BU31" s="450"/>
      <c r="BV31" s="450"/>
      <c r="BW31" s="450"/>
      <c r="BX31" s="450"/>
      <c r="BY31" s="450"/>
      <c r="BZ31" s="450"/>
      <c r="CA31" s="450"/>
      <c r="CB31" s="450"/>
      <c r="CC31" s="450"/>
      <c r="CD31" s="450"/>
      <c r="CE31" s="450"/>
      <c r="CF31" s="450"/>
      <c r="CG31" s="450"/>
      <c r="CH31" s="450"/>
      <c r="CI31" s="450"/>
      <c r="CJ31" s="450"/>
      <c r="CK31" s="450"/>
      <c r="CL31" s="450"/>
      <c r="CM31" s="450"/>
      <c r="CN31" s="450"/>
      <c r="CO31" s="450"/>
      <c r="CP31" s="450"/>
      <c r="CQ31" s="450"/>
      <c r="CR31" s="450"/>
      <c r="CS31" s="450"/>
      <c r="CT31" s="450"/>
      <c r="CU31" s="450"/>
      <c r="CV31" s="450"/>
      <c r="CW31" s="450"/>
      <c r="CX31" s="450"/>
      <c r="CY31" s="450"/>
      <c r="CZ31" s="450"/>
      <c r="DA31" s="450"/>
      <c r="DB31" s="450"/>
      <c r="DC31" s="450"/>
    </row>
    <row r="32" spans="1:107" customFormat="1" hidden="1">
      <c r="A32" s="450"/>
      <c r="B32" s="422" t="s">
        <v>58</v>
      </c>
      <c r="C32" s="29" t="s">
        <v>59</v>
      </c>
      <c r="D32" s="87">
        <v>0</v>
      </c>
      <c r="E32" s="499" t="s">
        <v>176</v>
      </c>
      <c r="F32" s="115"/>
      <c r="G32" s="316">
        <v>0</v>
      </c>
      <c r="J32" s="638"/>
      <c r="K32" s="450"/>
      <c r="L32" s="450"/>
      <c r="M32" s="450"/>
      <c r="N32" s="450"/>
      <c r="O32" s="450"/>
      <c r="P32" s="450"/>
      <c r="Q32" s="450"/>
      <c r="R32" s="450"/>
      <c r="S32" s="450"/>
      <c r="T32" s="450"/>
      <c r="U32" s="450"/>
      <c r="V32" s="450"/>
      <c r="W32" s="450"/>
      <c r="X32" s="450"/>
      <c r="Y32" s="450"/>
      <c r="Z32" s="450"/>
      <c r="AA32" s="450"/>
      <c r="AB32" s="450"/>
      <c r="AC32" s="450"/>
      <c r="AD32" s="450"/>
      <c r="AE32" s="450"/>
      <c r="AF32" s="450"/>
      <c r="AG32" s="450"/>
      <c r="AH32" s="450"/>
      <c r="AI32" s="450"/>
      <c r="AJ32" s="450"/>
      <c r="AK32" s="450"/>
      <c r="AL32" s="450"/>
      <c r="AM32" s="450"/>
      <c r="AN32" s="450"/>
      <c r="AO32" s="450"/>
      <c r="AP32" s="450"/>
      <c r="AQ32" s="450"/>
      <c r="AR32" s="450"/>
      <c r="AS32" s="450"/>
      <c r="AT32" s="450"/>
      <c r="AU32" s="450"/>
      <c r="AV32" s="450"/>
      <c r="AW32" s="450"/>
      <c r="AX32" s="450"/>
      <c r="AY32" s="450"/>
      <c r="AZ32" s="450"/>
      <c r="BA32" s="450"/>
      <c r="BB32" s="450"/>
      <c r="BC32" s="450"/>
      <c r="BD32" s="450"/>
      <c r="BE32" s="450"/>
      <c r="BF32" s="450"/>
      <c r="BG32" s="450"/>
      <c r="BH32" s="450"/>
      <c r="BI32" s="450"/>
      <c r="BJ32" s="450"/>
      <c r="BK32" s="450"/>
      <c r="BL32" s="450"/>
      <c r="BM32" s="450"/>
      <c r="BN32" s="450"/>
      <c r="BO32" s="450"/>
      <c r="BP32" s="450"/>
      <c r="BQ32" s="450"/>
      <c r="BR32" s="450"/>
      <c r="BS32" s="450"/>
      <c r="BT32" s="450"/>
      <c r="BU32" s="450"/>
      <c r="BV32" s="450"/>
      <c r="BW32" s="450"/>
      <c r="BX32" s="450"/>
      <c r="BY32" s="450"/>
      <c r="BZ32" s="450"/>
      <c r="CA32" s="450"/>
      <c r="CB32" s="450"/>
      <c r="CC32" s="450"/>
      <c r="CD32" s="450"/>
      <c r="CE32" s="450"/>
      <c r="CF32" s="450"/>
      <c r="CG32" s="450"/>
      <c r="CH32" s="450"/>
      <c r="CI32" s="450"/>
      <c r="CJ32" s="450"/>
      <c r="CK32" s="450"/>
      <c r="CL32" s="450"/>
      <c r="CM32" s="450"/>
      <c r="CN32" s="450"/>
      <c r="CO32" s="450"/>
      <c r="CP32" s="450"/>
      <c r="CQ32" s="450"/>
      <c r="CR32" s="450"/>
      <c r="CS32" s="450"/>
      <c r="CT32" s="450"/>
      <c r="CU32" s="450"/>
      <c r="CV32" s="450"/>
      <c r="CW32" s="450"/>
      <c r="CX32" s="450"/>
      <c r="CY32" s="450"/>
      <c r="CZ32" s="450"/>
      <c r="DA32" s="450"/>
      <c r="DB32" s="450"/>
      <c r="DC32" s="450"/>
    </row>
    <row r="33" spans="1:107" customFormat="1" hidden="1">
      <c r="A33" s="450"/>
      <c r="B33" s="422" t="s">
        <v>61</v>
      </c>
      <c r="C33" s="29" t="s">
        <v>62</v>
      </c>
      <c r="D33" s="11">
        <f>Nonpersonnel!B49</f>
        <v>0</v>
      </c>
      <c r="E33" s="5" t="s">
        <v>177</v>
      </c>
      <c r="G33" s="315">
        <v>0</v>
      </c>
      <c r="J33" s="638"/>
      <c r="K33" s="450"/>
      <c r="L33" s="450"/>
      <c r="M33" s="450"/>
      <c r="N33" s="450"/>
      <c r="O33" s="450"/>
      <c r="P33" s="450"/>
      <c r="Q33" s="450"/>
      <c r="R33" s="450"/>
      <c r="S33" s="450"/>
      <c r="T33" s="450"/>
      <c r="U33" s="450"/>
      <c r="V33" s="450"/>
      <c r="W33" s="450"/>
      <c r="X33" s="450"/>
      <c r="Y33" s="450"/>
      <c r="Z33" s="450"/>
      <c r="AA33" s="450"/>
      <c r="AB33" s="450"/>
      <c r="AC33" s="450"/>
      <c r="AD33" s="450"/>
      <c r="AE33" s="450"/>
      <c r="AF33" s="450"/>
      <c r="AG33" s="450"/>
      <c r="AH33" s="450"/>
      <c r="AI33" s="450"/>
      <c r="AJ33" s="450"/>
      <c r="AK33" s="450"/>
      <c r="AL33" s="450"/>
      <c r="AM33" s="450"/>
      <c r="AN33" s="450"/>
      <c r="AO33" s="450"/>
      <c r="AP33" s="450"/>
      <c r="AQ33" s="450"/>
      <c r="AR33" s="450"/>
      <c r="AS33" s="450"/>
      <c r="AT33" s="450"/>
      <c r="AU33" s="450"/>
      <c r="AV33" s="450"/>
      <c r="AW33" s="450"/>
      <c r="AX33" s="450"/>
      <c r="AY33" s="450"/>
      <c r="AZ33" s="450"/>
      <c r="BA33" s="450"/>
      <c r="BB33" s="450"/>
      <c r="BC33" s="450"/>
      <c r="BD33" s="450"/>
      <c r="BE33" s="450"/>
      <c r="BF33" s="450"/>
      <c r="BG33" s="450"/>
      <c r="BH33" s="450"/>
      <c r="BI33" s="450"/>
      <c r="BJ33" s="450"/>
      <c r="BK33" s="450"/>
      <c r="BL33" s="450"/>
      <c r="BM33" s="450"/>
      <c r="BN33" s="450"/>
      <c r="BO33" s="450"/>
      <c r="BP33" s="450"/>
      <c r="BQ33" s="450"/>
      <c r="BR33" s="450"/>
      <c r="BS33" s="450"/>
      <c r="BT33" s="450"/>
      <c r="BU33" s="450"/>
      <c r="BV33" s="450"/>
      <c r="BW33" s="450"/>
      <c r="BX33" s="450"/>
      <c r="BY33" s="450"/>
      <c r="BZ33" s="450"/>
      <c r="CA33" s="450"/>
      <c r="CB33" s="450"/>
      <c r="CC33" s="450"/>
      <c r="CD33" s="450"/>
      <c r="CE33" s="450"/>
      <c r="CF33" s="450"/>
      <c r="CG33" s="450"/>
      <c r="CH33" s="450"/>
      <c r="CI33" s="450"/>
      <c r="CJ33" s="450"/>
      <c r="CK33" s="450"/>
      <c r="CL33" s="450"/>
      <c r="CM33" s="450"/>
      <c r="CN33" s="450"/>
      <c r="CO33" s="450"/>
      <c r="CP33" s="450"/>
      <c r="CQ33" s="450"/>
      <c r="CR33" s="450"/>
      <c r="CS33" s="450"/>
      <c r="CT33" s="450"/>
      <c r="CU33" s="450"/>
      <c r="CV33" s="450"/>
      <c r="CW33" s="450"/>
      <c r="CX33" s="450"/>
      <c r="CY33" s="450"/>
      <c r="CZ33" s="450"/>
      <c r="DA33" s="450"/>
      <c r="DB33" s="450"/>
      <c r="DC33" s="450"/>
    </row>
    <row r="34" spans="1:107" customFormat="1" hidden="1">
      <c r="A34" s="450"/>
      <c r="B34" s="422"/>
      <c r="C34" s="29"/>
      <c r="D34" s="11"/>
      <c r="E34" s="5"/>
      <c r="G34" s="626"/>
      <c r="J34" s="638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0"/>
      <c r="AS34" s="450"/>
      <c r="AT34" s="450"/>
      <c r="AU34" s="450"/>
      <c r="AV34" s="450"/>
      <c r="AW34" s="450"/>
      <c r="AX34" s="450"/>
      <c r="AY34" s="450"/>
      <c r="AZ34" s="450"/>
      <c r="BA34" s="450"/>
      <c r="BB34" s="450"/>
      <c r="BC34" s="450"/>
      <c r="BD34" s="450"/>
      <c r="BE34" s="450"/>
      <c r="BF34" s="450"/>
      <c r="BG34" s="450"/>
      <c r="BH34" s="450"/>
      <c r="BI34" s="450"/>
      <c r="BJ34" s="450"/>
      <c r="BK34" s="450"/>
      <c r="BL34" s="450"/>
      <c r="BM34" s="450"/>
      <c r="BN34" s="450"/>
      <c r="BO34" s="450"/>
      <c r="BP34" s="450"/>
      <c r="BQ34" s="450"/>
      <c r="BR34" s="450"/>
      <c r="BS34" s="450"/>
      <c r="BT34" s="450"/>
      <c r="BU34" s="450"/>
      <c r="BV34" s="450"/>
      <c r="BW34" s="450"/>
      <c r="BX34" s="450"/>
      <c r="BY34" s="450"/>
      <c r="BZ34" s="450"/>
      <c r="CA34" s="450"/>
      <c r="CB34" s="450"/>
      <c r="CC34" s="450"/>
      <c r="CD34" s="450"/>
      <c r="CE34" s="450"/>
      <c r="CF34" s="450"/>
      <c r="CG34" s="450"/>
      <c r="CH34" s="450"/>
      <c r="CI34" s="450"/>
      <c r="CJ34" s="450"/>
      <c r="CK34" s="450"/>
      <c r="CL34" s="450"/>
      <c r="CM34" s="450"/>
      <c r="CN34" s="450"/>
      <c r="CO34" s="450"/>
      <c r="CP34" s="450"/>
      <c r="CQ34" s="450"/>
      <c r="CR34" s="450"/>
      <c r="CS34" s="450"/>
      <c r="CT34" s="450"/>
      <c r="CU34" s="450"/>
      <c r="CV34" s="450"/>
      <c r="CW34" s="450"/>
      <c r="CX34" s="450"/>
      <c r="CY34" s="450"/>
      <c r="CZ34" s="450"/>
      <c r="DA34" s="450"/>
      <c r="DB34" s="450"/>
      <c r="DC34" s="450"/>
    </row>
    <row r="35" spans="1:107" customFormat="1" hidden="1">
      <c r="A35" s="450"/>
      <c r="B35" s="422"/>
      <c r="C35" s="29"/>
      <c r="D35" s="11"/>
      <c r="E35" s="5"/>
      <c r="G35" s="626"/>
      <c r="J35" s="638"/>
      <c r="K35" s="450"/>
      <c r="L35" s="450"/>
      <c r="M35" s="450"/>
      <c r="N35" s="450"/>
      <c r="O35" s="450"/>
      <c r="P35" s="450"/>
      <c r="Q35" s="450"/>
      <c r="R35" s="450"/>
      <c r="S35" s="450"/>
      <c r="T35" s="450"/>
      <c r="U35" s="450"/>
      <c r="V35" s="450"/>
      <c r="W35" s="450"/>
      <c r="X35" s="450"/>
      <c r="Y35" s="450"/>
      <c r="Z35" s="450"/>
      <c r="AA35" s="450"/>
      <c r="AB35" s="450"/>
      <c r="AC35" s="450"/>
      <c r="AD35" s="450"/>
      <c r="AE35" s="450"/>
      <c r="AF35" s="450"/>
      <c r="AG35" s="450"/>
      <c r="AH35" s="450"/>
      <c r="AI35" s="450"/>
      <c r="AJ35" s="450"/>
      <c r="AK35" s="450"/>
      <c r="AL35" s="450"/>
      <c r="AM35" s="450"/>
      <c r="AN35" s="450"/>
      <c r="AO35" s="450"/>
      <c r="AP35" s="450"/>
      <c r="AQ35" s="450"/>
      <c r="AR35" s="450"/>
      <c r="AS35" s="450"/>
      <c r="AT35" s="450"/>
      <c r="AU35" s="450"/>
      <c r="AV35" s="450"/>
      <c r="AW35" s="450"/>
      <c r="AX35" s="450"/>
      <c r="AY35" s="450"/>
      <c r="AZ35" s="450"/>
      <c r="BA35" s="450"/>
      <c r="BB35" s="450"/>
      <c r="BC35" s="450"/>
      <c r="BD35" s="450"/>
      <c r="BE35" s="450"/>
      <c r="BF35" s="450"/>
      <c r="BG35" s="450"/>
      <c r="BH35" s="450"/>
      <c r="BI35" s="450"/>
      <c r="BJ35" s="450"/>
      <c r="BK35" s="450"/>
      <c r="BL35" s="450"/>
      <c r="BM35" s="450"/>
      <c r="BN35" s="450"/>
      <c r="BO35" s="450"/>
      <c r="BP35" s="450"/>
      <c r="BQ35" s="450"/>
      <c r="BR35" s="450"/>
      <c r="BS35" s="450"/>
      <c r="BT35" s="450"/>
      <c r="BU35" s="450"/>
      <c r="BV35" s="450"/>
      <c r="BW35" s="450"/>
      <c r="BX35" s="450"/>
      <c r="BY35" s="450"/>
      <c r="BZ35" s="450"/>
      <c r="CA35" s="450"/>
      <c r="CB35" s="450"/>
      <c r="CC35" s="450"/>
      <c r="CD35" s="450"/>
      <c r="CE35" s="450"/>
      <c r="CF35" s="450"/>
      <c r="CG35" s="450"/>
      <c r="CH35" s="450"/>
      <c r="CI35" s="450"/>
      <c r="CJ35" s="450"/>
      <c r="CK35" s="450"/>
      <c r="CL35" s="450"/>
      <c r="CM35" s="450"/>
      <c r="CN35" s="450"/>
      <c r="CO35" s="450"/>
      <c r="CP35" s="450"/>
      <c r="CQ35" s="450"/>
      <c r="CR35" s="450"/>
      <c r="CS35" s="450"/>
      <c r="CT35" s="450"/>
      <c r="CU35" s="450"/>
      <c r="CV35" s="450"/>
      <c r="CW35" s="450"/>
      <c r="CX35" s="450"/>
      <c r="CY35" s="450"/>
      <c r="CZ35" s="450"/>
      <c r="DA35" s="450"/>
      <c r="DB35" s="450"/>
      <c r="DC35" s="450"/>
    </row>
    <row r="36" spans="1:107" customFormat="1">
      <c r="A36" s="450"/>
      <c r="B36" s="518" t="s">
        <v>482</v>
      </c>
      <c r="E36" s="5"/>
      <c r="J36" s="638"/>
      <c r="K36" s="450"/>
      <c r="L36" s="450"/>
      <c r="M36" s="450"/>
      <c r="N36" s="450"/>
      <c r="O36" s="450"/>
      <c r="P36" s="450"/>
      <c r="Q36" s="450"/>
      <c r="R36" s="450"/>
      <c r="S36" s="450"/>
      <c r="T36" s="450"/>
      <c r="U36" s="450"/>
      <c r="V36" s="450"/>
      <c r="W36" s="450"/>
      <c r="X36" s="450"/>
      <c r="Y36" s="450"/>
      <c r="Z36" s="450"/>
      <c r="AA36" s="450"/>
      <c r="AB36" s="450"/>
      <c r="AC36" s="450"/>
      <c r="AD36" s="450"/>
      <c r="AE36" s="450"/>
      <c r="AF36" s="450"/>
      <c r="AG36" s="450"/>
      <c r="AH36" s="450"/>
      <c r="AI36" s="450"/>
      <c r="AJ36" s="450"/>
      <c r="AK36" s="450"/>
      <c r="AL36" s="450"/>
      <c r="AM36" s="450"/>
      <c r="AN36" s="450"/>
      <c r="AO36" s="450"/>
      <c r="AP36" s="450"/>
      <c r="AQ36" s="450"/>
      <c r="AR36" s="450"/>
      <c r="AS36" s="450"/>
      <c r="AT36" s="450"/>
      <c r="AU36" s="450"/>
      <c r="AV36" s="450"/>
      <c r="AW36" s="450"/>
      <c r="AX36" s="450"/>
      <c r="AY36" s="450"/>
      <c r="AZ36" s="450"/>
      <c r="BA36" s="450"/>
      <c r="BB36" s="450"/>
      <c r="BC36" s="450"/>
      <c r="BD36" s="450"/>
      <c r="BE36" s="450"/>
      <c r="BF36" s="450"/>
      <c r="BG36" s="450"/>
      <c r="BH36" s="450"/>
      <c r="BI36" s="450"/>
      <c r="BJ36" s="450"/>
      <c r="BK36" s="450"/>
      <c r="BL36" s="450"/>
      <c r="BM36" s="450"/>
      <c r="BN36" s="450"/>
      <c r="BO36" s="450"/>
      <c r="BP36" s="450"/>
      <c r="BQ36" s="450"/>
      <c r="BR36" s="450"/>
      <c r="BS36" s="450"/>
      <c r="BT36" s="450"/>
      <c r="BU36" s="450"/>
      <c r="BV36" s="450"/>
      <c r="BW36" s="450"/>
      <c r="BX36" s="450"/>
      <c r="BY36" s="450"/>
      <c r="BZ36" s="450"/>
      <c r="CA36" s="450"/>
      <c r="CB36" s="450"/>
      <c r="CC36" s="450"/>
      <c r="CD36" s="450"/>
      <c r="CE36" s="450"/>
      <c r="CF36" s="450"/>
      <c r="CG36" s="450"/>
      <c r="CH36" s="450"/>
      <c r="CI36" s="450"/>
      <c r="CJ36" s="450"/>
      <c r="CK36" s="450"/>
      <c r="CL36" s="450"/>
      <c r="CM36" s="450"/>
      <c r="CN36" s="450"/>
      <c r="CO36" s="450"/>
      <c r="CP36" s="450"/>
      <c r="CQ36" s="450"/>
      <c r="CR36" s="450"/>
      <c r="CS36" s="450"/>
      <c r="CT36" s="450"/>
      <c r="CU36" s="450"/>
      <c r="CV36" s="450"/>
      <c r="CW36" s="450"/>
      <c r="CX36" s="450"/>
      <c r="CY36" s="450"/>
      <c r="CZ36" s="450"/>
      <c r="DA36" s="450"/>
      <c r="DB36" s="450"/>
      <c r="DC36" s="450"/>
    </row>
    <row r="37" spans="1:107" customFormat="1">
      <c r="A37" s="450"/>
      <c r="B37" s="523" t="s">
        <v>483</v>
      </c>
      <c r="D37" s="16"/>
      <c r="E37" s="16"/>
      <c r="J37" s="638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50"/>
      <c r="AA37" s="450"/>
      <c r="AB37" s="450"/>
      <c r="AC37" s="450"/>
      <c r="AD37" s="450"/>
      <c r="AE37" s="450"/>
      <c r="AF37" s="450"/>
      <c r="AG37" s="450"/>
      <c r="AH37" s="450"/>
      <c r="AI37" s="450"/>
      <c r="AJ37" s="450"/>
      <c r="AK37" s="450"/>
      <c r="AL37" s="450"/>
      <c r="AM37" s="450"/>
      <c r="AN37" s="450"/>
      <c r="AO37" s="450"/>
      <c r="AP37" s="450"/>
      <c r="AQ37" s="450"/>
      <c r="AR37" s="450"/>
      <c r="AS37" s="450"/>
      <c r="AT37" s="450"/>
      <c r="AU37" s="450"/>
      <c r="AV37" s="450"/>
      <c r="AW37" s="450"/>
      <c r="AX37" s="450"/>
      <c r="AY37" s="450"/>
      <c r="AZ37" s="450"/>
      <c r="BA37" s="450"/>
      <c r="BB37" s="450"/>
      <c r="BC37" s="450"/>
      <c r="BD37" s="450"/>
      <c r="BE37" s="450"/>
      <c r="BF37" s="450"/>
      <c r="BG37" s="450"/>
      <c r="BH37" s="450"/>
      <c r="BI37" s="450"/>
      <c r="BJ37" s="450"/>
      <c r="BK37" s="450"/>
      <c r="BL37" s="450"/>
      <c r="BM37" s="450"/>
      <c r="BN37" s="450"/>
      <c r="BO37" s="450"/>
      <c r="BP37" s="450"/>
      <c r="BQ37" s="450"/>
      <c r="BR37" s="450"/>
      <c r="BS37" s="450"/>
      <c r="BT37" s="450"/>
      <c r="BU37" s="450"/>
      <c r="BV37" s="450"/>
      <c r="BW37" s="450"/>
      <c r="BX37" s="450"/>
      <c r="BY37" s="450"/>
      <c r="BZ37" s="450"/>
      <c r="CA37" s="450"/>
      <c r="CB37" s="450"/>
      <c r="CC37" s="450"/>
      <c r="CD37" s="450"/>
      <c r="CE37" s="450"/>
      <c r="CF37" s="450"/>
      <c r="CG37" s="450"/>
      <c r="CH37" s="450"/>
      <c r="CI37" s="450"/>
      <c r="CJ37" s="450"/>
      <c r="CK37" s="450"/>
      <c r="CL37" s="450"/>
      <c r="CM37" s="450"/>
      <c r="CN37" s="450"/>
      <c r="CO37" s="450"/>
      <c r="CP37" s="450"/>
      <c r="CQ37" s="450"/>
      <c r="CR37" s="450"/>
      <c r="CS37" s="450"/>
      <c r="CT37" s="450"/>
      <c r="CU37" s="450"/>
      <c r="CV37" s="450"/>
      <c r="CW37" s="450"/>
      <c r="CX37" s="450"/>
      <c r="CY37" s="450"/>
      <c r="CZ37" s="450"/>
      <c r="DA37" s="450"/>
      <c r="DB37" s="450"/>
      <c r="DC37" s="450"/>
    </row>
    <row r="38" spans="1:107" customFormat="1" ht="28">
      <c r="A38" s="450"/>
      <c r="B38" s="524"/>
      <c r="C38" s="627" t="s">
        <v>484</v>
      </c>
      <c r="D38" s="627" t="s">
        <v>485</v>
      </c>
      <c r="J38" s="638"/>
      <c r="K38" s="450"/>
      <c r="L38" s="450"/>
      <c r="M38" s="450"/>
      <c r="N38" s="450"/>
      <c r="O38" s="450"/>
      <c r="P38" s="450"/>
      <c r="Q38" s="450"/>
      <c r="R38" s="450"/>
      <c r="S38" s="450"/>
      <c r="T38" s="450"/>
      <c r="U38" s="450"/>
      <c r="V38" s="450"/>
      <c r="W38" s="450"/>
      <c r="X38" s="450"/>
      <c r="Y38" s="450"/>
      <c r="Z38" s="450"/>
      <c r="AA38" s="450"/>
      <c r="AB38" s="450"/>
      <c r="AC38" s="450"/>
      <c r="AD38" s="450"/>
      <c r="AE38" s="450"/>
      <c r="AF38" s="450"/>
      <c r="AG38" s="450"/>
      <c r="AH38" s="450"/>
      <c r="AI38" s="450"/>
      <c r="AJ38" s="450"/>
      <c r="AK38" s="450"/>
      <c r="AL38" s="450"/>
      <c r="AM38" s="450"/>
      <c r="AN38" s="450"/>
      <c r="AO38" s="450"/>
      <c r="AP38" s="450"/>
      <c r="AQ38" s="450"/>
      <c r="AR38" s="450"/>
      <c r="AS38" s="450"/>
      <c r="AT38" s="450"/>
      <c r="AU38" s="450"/>
      <c r="AV38" s="450"/>
      <c r="AW38" s="450"/>
      <c r="AX38" s="450"/>
      <c r="AY38" s="450"/>
      <c r="AZ38" s="450"/>
      <c r="BA38" s="450"/>
      <c r="BB38" s="450"/>
      <c r="BC38" s="450"/>
      <c r="BD38" s="450"/>
      <c r="BE38" s="450"/>
      <c r="BF38" s="450"/>
      <c r="BG38" s="450"/>
      <c r="BH38" s="450"/>
      <c r="BI38" s="450"/>
      <c r="BJ38" s="450"/>
      <c r="BK38" s="450"/>
      <c r="BL38" s="450"/>
      <c r="BM38" s="450"/>
      <c r="BN38" s="450"/>
      <c r="BO38" s="450"/>
      <c r="BP38" s="450"/>
      <c r="BQ38" s="450"/>
      <c r="BR38" s="450"/>
      <c r="BS38" s="450"/>
      <c r="BT38" s="450"/>
      <c r="BU38" s="450"/>
      <c r="BV38" s="450"/>
      <c r="BW38" s="450"/>
      <c r="BX38" s="450"/>
      <c r="BY38" s="450"/>
      <c r="BZ38" s="450"/>
      <c r="CA38" s="450"/>
      <c r="CB38" s="450"/>
      <c r="CC38" s="450"/>
      <c r="CD38" s="450"/>
      <c r="CE38" s="450"/>
      <c r="CF38" s="450"/>
      <c r="CG38" s="450"/>
      <c r="CH38" s="450"/>
      <c r="CI38" s="450"/>
      <c r="CJ38" s="450"/>
      <c r="CK38" s="450"/>
      <c r="CL38" s="450"/>
      <c r="CM38" s="450"/>
      <c r="CN38" s="450"/>
      <c r="CO38" s="450"/>
      <c r="CP38" s="450"/>
      <c r="CQ38" s="450"/>
      <c r="CR38" s="450"/>
      <c r="CS38" s="450"/>
      <c r="CT38" s="450"/>
      <c r="CU38" s="450"/>
      <c r="CV38" s="450"/>
      <c r="CW38" s="450"/>
      <c r="CX38" s="450"/>
      <c r="CY38" s="450"/>
      <c r="CZ38" s="450"/>
      <c r="DA38" s="450"/>
    </row>
    <row r="39" spans="1:107" customFormat="1" ht="14">
      <c r="A39" s="450"/>
      <c r="B39" s="525" t="str">
        <f>D7</f>
        <v>Infantes</v>
      </c>
      <c r="C39" s="443">
        <v>1</v>
      </c>
      <c r="D39" s="241">
        <f>C7-C39</f>
        <v>1</v>
      </c>
      <c r="J39" s="638"/>
      <c r="K39" s="450"/>
      <c r="L39" s="450"/>
      <c r="M39" s="450"/>
      <c r="N39" s="450"/>
      <c r="O39" s="450"/>
      <c r="P39" s="450"/>
      <c r="Q39" s="450"/>
      <c r="R39" s="450"/>
      <c r="S39" s="450"/>
      <c r="T39" s="450"/>
      <c r="U39" s="450"/>
      <c r="V39" s="450"/>
      <c r="W39" s="450"/>
      <c r="X39" s="450"/>
      <c r="Y39" s="450"/>
      <c r="Z39" s="450"/>
      <c r="AA39" s="450"/>
      <c r="AB39" s="450"/>
      <c r="AC39" s="450"/>
      <c r="AD39" s="450"/>
      <c r="AE39" s="450"/>
      <c r="AF39" s="450"/>
      <c r="AG39" s="450"/>
      <c r="AH39" s="450"/>
      <c r="AI39" s="450"/>
      <c r="AJ39" s="450"/>
      <c r="AK39" s="450"/>
      <c r="AL39" s="450"/>
      <c r="AM39" s="450"/>
      <c r="AN39" s="450"/>
      <c r="AO39" s="450"/>
      <c r="AP39" s="450"/>
      <c r="AQ39" s="450"/>
      <c r="AR39" s="450"/>
      <c r="AS39" s="450"/>
      <c r="AT39" s="450"/>
      <c r="AU39" s="450"/>
      <c r="AV39" s="450"/>
      <c r="AW39" s="450"/>
      <c r="AX39" s="450"/>
      <c r="AY39" s="450"/>
      <c r="AZ39" s="450"/>
      <c r="BA39" s="450"/>
      <c r="BB39" s="450"/>
      <c r="BC39" s="450"/>
      <c r="BD39" s="450"/>
      <c r="BE39" s="450"/>
      <c r="BF39" s="450"/>
      <c r="BG39" s="450"/>
      <c r="BH39" s="450"/>
      <c r="BI39" s="450"/>
      <c r="BJ39" s="450"/>
      <c r="BK39" s="450"/>
      <c r="BL39" s="450"/>
      <c r="BM39" s="450"/>
      <c r="BN39" s="450"/>
      <c r="BO39" s="450"/>
      <c r="BP39" s="450"/>
      <c r="BQ39" s="450"/>
      <c r="BR39" s="450"/>
      <c r="BS39" s="450"/>
      <c r="BT39" s="450"/>
      <c r="BU39" s="450"/>
      <c r="BV39" s="450"/>
      <c r="BW39" s="450"/>
      <c r="BX39" s="450"/>
      <c r="BY39" s="450"/>
      <c r="BZ39" s="450"/>
      <c r="CA39" s="450"/>
      <c r="CB39" s="450"/>
      <c r="CC39" s="450"/>
      <c r="CD39" s="450"/>
      <c r="CE39" s="450"/>
      <c r="CF39" s="450"/>
      <c r="CG39" s="450"/>
      <c r="CH39" s="450"/>
      <c r="CI39" s="450"/>
      <c r="CJ39" s="450"/>
      <c r="CK39" s="450"/>
      <c r="CL39" s="450"/>
      <c r="CM39" s="450"/>
      <c r="CN39" s="450"/>
      <c r="CO39" s="450"/>
      <c r="CP39" s="450"/>
      <c r="CQ39" s="450"/>
      <c r="CR39" s="450"/>
      <c r="CS39" s="450"/>
      <c r="CT39" s="450"/>
      <c r="CU39" s="450"/>
      <c r="CV39" s="450"/>
      <c r="CW39" s="450"/>
      <c r="CX39" s="450"/>
      <c r="CY39" s="450"/>
      <c r="CZ39" s="450"/>
      <c r="DA39" s="450"/>
    </row>
    <row r="40" spans="1:107" customFormat="1" ht="14">
      <c r="A40" s="450"/>
      <c r="B40" s="525" t="str">
        <f t="shared" ref="B40:B43" si="0">D8</f>
        <v>niños de dos años</v>
      </c>
      <c r="C40" s="443">
        <v>1</v>
      </c>
      <c r="D40" s="241">
        <f t="shared" ref="D40:D44" si="1">C8-C40</f>
        <v>0</v>
      </c>
      <c r="J40" s="638"/>
      <c r="K40" s="450"/>
      <c r="L40" s="450"/>
      <c r="M40" s="450"/>
      <c r="N40" s="450"/>
      <c r="O40" s="450"/>
      <c r="P40" s="450"/>
      <c r="Q40" s="450"/>
      <c r="R40" s="450"/>
      <c r="S40" s="450"/>
      <c r="T40" s="450"/>
      <c r="U40" s="450"/>
      <c r="V40" s="450"/>
      <c r="W40" s="450"/>
      <c r="X40" s="450"/>
      <c r="Y40" s="450"/>
      <c r="Z40" s="450"/>
      <c r="AA40" s="450"/>
      <c r="AB40" s="450"/>
      <c r="AC40" s="450"/>
      <c r="AD40" s="450"/>
      <c r="AE40" s="450"/>
      <c r="AF40" s="450"/>
      <c r="AG40" s="450"/>
      <c r="AH40" s="450"/>
      <c r="AI40" s="450"/>
      <c r="AJ40" s="450"/>
      <c r="AK40" s="450"/>
      <c r="AL40" s="450"/>
      <c r="AM40" s="450"/>
      <c r="AN40" s="450"/>
      <c r="AO40" s="450"/>
      <c r="AP40" s="450"/>
      <c r="AQ40" s="450"/>
      <c r="AR40" s="450"/>
      <c r="AS40" s="450"/>
      <c r="AT40" s="450"/>
      <c r="AU40" s="450"/>
      <c r="AV40" s="450"/>
      <c r="AW40" s="450"/>
      <c r="AX40" s="450"/>
      <c r="AY40" s="450"/>
      <c r="AZ40" s="450"/>
      <c r="BA40" s="450"/>
      <c r="BB40" s="450"/>
      <c r="BC40" s="450"/>
      <c r="BD40" s="450"/>
      <c r="BE40" s="450"/>
      <c r="BF40" s="450"/>
      <c r="BG40" s="450"/>
      <c r="BH40" s="450"/>
      <c r="BI40" s="450"/>
      <c r="BJ40" s="450"/>
      <c r="BK40" s="450"/>
      <c r="BL40" s="450"/>
      <c r="BM40" s="450"/>
      <c r="BN40" s="450"/>
      <c r="BO40" s="450"/>
      <c r="BP40" s="450"/>
      <c r="BQ40" s="450"/>
      <c r="BR40" s="450"/>
      <c r="BS40" s="450"/>
      <c r="BT40" s="450"/>
      <c r="BU40" s="450"/>
      <c r="BV40" s="450"/>
      <c r="BW40" s="450"/>
      <c r="BX40" s="450"/>
      <c r="BY40" s="450"/>
      <c r="BZ40" s="450"/>
      <c r="CA40" s="450"/>
      <c r="CB40" s="450"/>
      <c r="CC40" s="450"/>
      <c r="CD40" s="450"/>
      <c r="CE40" s="450"/>
      <c r="CF40" s="450"/>
      <c r="CG40" s="450"/>
      <c r="CH40" s="450"/>
      <c r="CI40" s="450"/>
      <c r="CJ40" s="450"/>
      <c r="CK40" s="450"/>
      <c r="CL40" s="450"/>
      <c r="CM40" s="450"/>
      <c r="CN40" s="450"/>
      <c r="CO40" s="450"/>
      <c r="CP40" s="450"/>
      <c r="CQ40" s="450"/>
      <c r="CR40" s="450"/>
      <c r="CS40" s="450"/>
      <c r="CT40" s="450"/>
      <c r="CU40" s="450"/>
      <c r="CV40" s="450"/>
      <c r="CW40" s="450"/>
      <c r="CX40" s="450"/>
      <c r="CY40" s="450"/>
      <c r="CZ40" s="450"/>
      <c r="DA40" s="450"/>
    </row>
    <row r="41" spans="1:107" customFormat="1" ht="14">
      <c r="A41" s="450"/>
      <c r="B41" s="525" t="str">
        <f t="shared" si="0"/>
        <v>niños de tres años</v>
      </c>
      <c r="C41" s="443">
        <v>1</v>
      </c>
      <c r="D41" s="241">
        <f t="shared" si="1"/>
        <v>0</v>
      </c>
      <c r="J41" s="638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50"/>
      <c r="AB41" s="450"/>
      <c r="AC41" s="450"/>
      <c r="AD41" s="450"/>
      <c r="AE41" s="450"/>
      <c r="AF41" s="450"/>
      <c r="AG41" s="450"/>
      <c r="AH41" s="450"/>
      <c r="AI41" s="450"/>
      <c r="AJ41" s="450"/>
      <c r="AK41" s="450"/>
      <c r="AL41" s="450"/>
      <c r="AM41" s="450"/>
      <c r="AN41" s="450"/>
      <c r="AO41" s="450"/>
      <c r="AP41" s="450"/>
      <c r="AQ41" s="450"/>
      <c r="AR41" s="450"/>
      <c r="AS41" s="450"/>
      <c r="AT41" s="450"/>
      <c r="AU41" s="450"/>
      <c r="AV41" s="450"/>
      <c r="AW41" s="450"/>
      <c r="AX41" s="450"/>
      <c r="AY41" s="450"/>
      <c r="AZ41" s="450"/>
      <c r="BA41" s="450"/>
      <c r="BB41" s="450"/>
      <c r="BC41" s="450"/>
      <c r="BD41" s="450"/>
      <c r="BE41" s="450"/>
      <c r="BF41" s="450"/>
      <c r="BG41" s="450"/>
      <c r="BH41" s="450"/>
      <c r="BI41" s="450"/>
      <c r="BJ41" s="450"/>
      <c r="BK41" s="450"/>
      <c r="BL41" s="450"/>
      <c r="BM41" s="450"/>
      <c r="BN41" s="450"/>
      <c r="BO41" s="450"/>
      <c r="BP41" s="450"/>
      <c r="BQ41" s="450"/>
      <c r="BR41" s="450"/>
      <c r="BS41" s="450"/>
      <c r="BT41" s="450"/>
      <c r="BU41" s="450"/>
      <c r="BV41" s="450"/>
      <c r="BW41" s="450"/>
      <c r="BX41" s="450"/>
      <c r="BY41" s="450"/>
      <c r="BZ41" s="450"/>
      <c r="CA41" s="450"/>
      <c r="CB41" s="450"/>
      <c r="CC41" s="450"/>
      <c r="CD41" s="450"/>
      <c r="CE41" s="450"/>
      <c r="CF41" s="450"/>
      <c r="CG41" s="450"/>
      <c r="CH41" s="450"/>
      <c r="CI41" s="450"/>
      <c r="CJ41" s="450"/>
      <c r="CK41" s="450"/>
      <c r="CL41" s="450"/>
      <c r="CM41" s="450"/>
      <c r="CN41" s="450"/>
      <c r="CO41" s="450"/>
      <c r="CP41" s="450"/>
      <c r="CQ41" s="450"/>
      <c r="CR41" s="450"/>
      <c r="CS41" s="450"/>
      <c r="CT41" s="450"/>
      <c r="CU41" s="450"/>
      <c r="CV41" s="450"/>
      <c r="CW41" s="450"/>
      <c r="CX41" s="450"/>
      <c r="CY41" s="450"/>
      <c r="CZ41" s="450"/>
      <c r="DA41" s="450"/>
    </row>
    <row r="42" spans="1:107" customFormat="1" ht="14">
      <c r="A42" s="450"/>
      <c r="B42" s="525" t="str">
        <f t="shared" si="0"/>
        <v>niños de cuatro años</v>
      </c>
      <c r="C42" s="443">
        <v>0</v>
      </c>
      <c r="D42" s="241">
        <f t="shared" si="1"/>
        <v>1</v>
      </c>
      <c r="J42" s="638"/>
      <c r="K42" s="450"/>
      <c r="L42" s="450"/>
      <c r="M42" s="450"/>
      <c r="N42" s="450"/>
      <c r="O42" s="450"/>
      <c r="P42" s="450"/>
      <c r="Q42" s="450"/>
      <c r="R42" s="450"/>
      <c r="S42" s="450"/>
      <c r="T42" s="450"/>
      <c r="U42" s="450"/>
      <c r="V42" s="450"/>
      <c r="W42" s="450"/>
      <c r="X42" s="450"/>
      <c r="Y42" s="450"/>
      <c r="Z42" s="450"/>
      <c r="AA42" s="450"/>
      <c r="AB42" s="450"/>
      <c r="AC42" s="450"/>
      <c r="AD42" s="450"/>
      <c r="AE42" s="450"/>
      <c r="AF42" s="450"/>
      <c r="AG42" s="450"/>
      <c r="AH42" s="450"/>
      <c r="AI42" s="450"/>
      <c r="AJ42" s="450"/>
      <c r="AK42" s="450"/>
      <c r="AL42" s="450"/>
      <c r="AM42" s="450"/>
      <c r="AN42" s="450"/>
      <c r="AO42" s="450"/>
      <c r="AP42" s="450"/>
      <c r="AQ42" s="450"/>
      <c r="AR42" s="450"/>
      <c r="AS42" s="450"/>
      <c r="AT42" s="450"/>
      <c r="AU42" s="450"/>
      <c r="AV42" s="450"/>
      <c r="AW42" s="450"/>
      <c r="AX42" s="450"/>
      <c r="AY42" s="450"/>
      <c r="AZ42" s="450"/>
      <c r="BA42" s="450"/>
      <c r="BB42" s="450"/>
      <c r="BC42" s="450"/>
      <c r="BD42" s="450"/>
      <c r="BE42" s="450"/>
      <c r="BF42" s="450"/>
      <c r="BG42" s="450"/>
      <c r="BH42" s="450"/>
      <c r="BI42" s="450"/>
      <c r="BJ42" s="450"/>
      <c r="BK42" s="450"/>
      <c r="BL42" s="450"/>
      <c r="BM42" s="450"/>
      <c r="BN42" s="450"/>
      <c r="BO42" s="450"/>
      <c r="BP42" s="450"/>
      <c r="BQ42" s="450"/>
      <c r="BR42" s="450"/>
      <c r="BS42" s="450"/>
      <c r="BT42" s="450"/>
      <c r="BU42" s="450"/>
      <c r="BV42" s="450"/>
      <c r="BW42" s="450"/>
      <c r="BX42" s="450"/>
      <c r="BY42" s="450"/>
      <c r="BZ42" s="450"/>
      <c r="CA42" s="450"/>
      <c r="CB42" s="450"/>
      <c r="CC42" s="450"/>
      <c r="CD42" s="450"/>
      <c r="CE42" s="450"/>
      <c r="CF42" s="450"/>
      <c r="CG42" s="450"/>
      <c r="CH42" s="450"/>
      <c r="CI42" s="450"/>
      <c r="CJ42" s="450"/>
      <c r="CK42" s="450"/>
      <c r="CL42" s="450"/>
      <c r="CM42" s="450"/>
      <c r="CN42" s="450"/>
      <c r="CO42" s="450"/>
      <c r="CP42" s="450"/>
      <c r="CQ42" s="450"/>
      <c r="CR42" s="450"/>
      <c r="CS42" s="450"/>
      <c r="CT42" s="450"/>
      <c r="CU42" s="450"/>
      <c r="CV42" s="450"/>
      <c r="CW42" s="450"/>
      <c r="CX42" s="450"/>
      <c r="CY42" s="450"/>
      <c r="CZ42" s="450"/>
      <c r="DA42" s="450"/>
    </row>
    <row r="43" spans="1:107" customFormat="1" ht="14">
      <c r="A43" s="450"/>
      <c r="B43" s="525" t="str">
        <f t="shared" si="0"/>
        <v>edad escolar</v>
      </c>
      <c r="C43" s="443">
        <v>1</v>
      </c>
      <c r="D43" s="241">
        <f t="shared" si="1"/>
        <v>0</v>
      </c>
      <c r="J43" s="638"/>
      <c r="K43" s="450"/>
      <c r="L43" s="450"/>
      <c r="M43" s="450"/>
      <c r="N43" s="450"/>
      <c r="O43" s="450"/>
      <c r="P43" s="450"/>
      <c r="Q43" s="450"/>
      <c r="R43" s="450"/>
      <c r="S43" s="450"/>
      <c r="T43" s="450"/>
      <c r="U43" s="450"/>
      <c r="V43" s="450"/>
      <c r="W43" s="450"/>
      <c r="X43" s="450"/>
      <c r="Y43" s="450"/>
      <c r="Z43" s="450"/>
      <c r="AA43" s="450"/>
      <c r="AB43" s="450"/>
      <c r="AC43" s="450"/>
      <c r="AD43" s="450"/>
      <c r="AE43" s="450"/>
      <c r="AF43" s="450"/>
      <c r="AG43" s="450"/>
      <c r="AH43" s="450"/>
      <c r="AI43" s="450"/>
      <c r="AJ43" s="450"/>
      <c r="AK43" s="450"/>
      <c r="AL43" s="450"/>
      <c r="AM43" s="450"/>
      <c r="AN43" s="450"/>
      <c r="AO43" s="450"/>
      <c r="AP43" s="450"/>
      <c r="AQ43" s="450"/>
      <c r="AR43" s="450"/>
      <c r="AS43" s="450"/>
      <c r="AT43" s="450"/>
      <c r="AU43" s="450"/>
      <c r="AV43" s="450"/>
      <c r="AW43" s="450"/>
      <c r="AX43" s="450"/>
      <c r="AY43" s="450"/>
      <c r="AZ43" s="450"/>
      <c r="BA43" s="450"/>
      <c r="BB43" s="450"/>
      <c r="BC43" s="450"/>
      <c r="BD43" s="450"/>
      <c r="BE43" s="450"/>
      <c r="BF43" s="450"/>
      <c r="BG43" s="450"/>
      <c r="BH43" s="450"/>
      <c r="BI43" s="450"/>
      <c r="BJ43" s="450"/>
      <c r="BK43" s="450"/>
      <c r="BL43" s="450"/>
      <c r="BM43" s="450"/>
      <c r="BN43" s="450"/>
      <c r="BO43" s="450"/>
      <c r="BP43" s="450"/>
      <c r="BQ43" s="450"/>
      <c r="BR43" s="450"/>
      <c r="BS43" s="450"/>
      <c r="BT43" s="450"/>
      <c r="BU43" s="450"/>
      <c r="BV43" s="450"/>
      <c r="BW43" s="450"/>
      <c r="BX43" s="450"/>
      <c r="BY43" s="450"/>
      <c r="BZ43" s="450"/>
      <c r="CA43" s="450"/>
      <c r="CB43" s="450"/>
      <c r="CC43" s="450"/>
      <c r="CD43" s="450"/>
      <c r="CE43" s="450"/>
      <c r="CF43" s="450"/>
      <c r="CG43" s="450"/>
      <c r="CH43" s="450"/>
      <c r="CI43" s="450"/>
      <c r="CJ43" s="450"/>
      <c r="CK43" s="450"/>
      <c r="CL43" s="450"/>
      <c r="CM43" s="450"/>
      <c r="CN43" s="450"/>
      <c r="CO43" s="450"/>
      <c r="CP43" s="450"/>
      <c r="CQ43" s="450"/>
      <c r="CR43" s="450"/>
      <c r="CS43" s="450"/>
      <c r="CT43" s="450"/>
      <c r="CU43" s="450"/>
      <c r="CV43" s="450"/>
      <c r="CW43" s="450"/>
      <c r="CX43" s="450"/>
      <c r="CY43" s="450"/>
      <c r="CZ43" s="450"/>
      <c r="DA43" s="450"/>
    </row>
    <row r="44" spans="1:107" customFormat="1">
      <c r="A44" s="450"/>
      <c r="B44" s="526" t="s">
        <v>69</v>
      </c>
      <c r="C44" s="242">
        <f>SUM(C39:C43)</f>
        <v>4</v>
      </c>
      <c r="D44" s="241">
        <f t="shared" si="1"/>
        <v>2</v>
      </c>
      <c r="J44" s="638"/>
      <c r="K44" s="450"/>
      <c r="L44" s="450"/>
      <c r="M44" s="450"/>
      <c r="N44" s="450"/>
      <c r="O44" s="450"/>
      <c r="P44" s="450"/>
      <c r="Q44" s="450"/>
      <c r="R44" s="450"/>
      <c r="S44" s="450"/>
      <c r="T44" s="450"/>
      <c r="U44" s="450"/>
      <c r="V44" s="450"/>
      <c r="W44" s="450"/>
      <c r="X44" s="450"/>
      <c r="Y44" s="450"/>
      <c r="Z44" s="450"/>
      <c r="AA44" s="450"/>
      <c r="AB44" s="450"/>
      <c r="AC44" s="450"/>
      <c r="AD44" s="450"/>
      <c r="AE44" s="450"/>
      <c r="AF44" s="450"/>
      <c r="AG44" s="450"/>
      <c r="AH44" s="450"/>
      <c r="AI44" s="450"/>
      <c r="AJ44" s="450"/>
      <c r="AK44" s="450"/>
      <c r="AL44" s="450"/>
      <c r="AM44" s="450"/>
      <c r="AN44" s="450"/>
      <c r="AO44" s="450"/>
      <c r="AP44" s="450"/>
      <c r="AQ44" s="450"/>
      <c r="AR44" s="450"/>
      <c r="AS44" s="450"/>
      <c r="AT44" s="450"/>
      <c r="AU44" s="450"/>
      <c r="AV44" s="450"/>
      <c r="AW44" s="450"/>
      <c r="AX44" s="450"/>
      <c r="AY44" s="450"/>
      <c r="AZ44" s="450"/>
      <c r="BA44" s="450"/>
      <c r="BB44" s="450"/>
      <c r="BC44" s="450"/>
      <c r="BD44" s="450"/>
      <c r="BE44" s="450"/>
      <c r="BF44" s="450"/>
      <c r="BG44" s="450"/>
      <c r="BH44" s="450"/>
      <c r="BI44" s="450"/>
      <c r="BJ44" s="450"/>
      <c r="BK44" s="450"/>
      <c r="BL44" s="450"/>
      <c r="BM44" s="450"/>
      <c r="BN44" s="450"/>
      <c r="BO44" s="450"/>
      <c r="BP44" s="450"/>
      <c r="BQ44" s="450"/>
      <c r="BR44" s="450"/>
      <c r="BS44" s="450"/>
      <c r="BT44" s="450"/>
      <c r="BU44" s="450"/>
      <c r="BV44" s="450"/>
      <c r="BW44" s="450"/>
      <c r="BX44" s="450"/>
      <c r="BY44" s="450"/>
      <c r="BZ44" s="450"/>
      <c r="CA44" s="450"/>
      <c r="CB44" s="450"/>
      <c r="CC44" s="450"/>
      <c r="CD44" s="450"/>
      <c r="CE44" s="450"/>
      <c r="CF44" s="450"/>
      <c r="CG44" s="450"/>
      <c r="CH44" s="450"/>
      <c r="CI44" s="450"/>
      <c r="CJ44" s="450"/>
      <c r="CK44" s="450"/>
      <c r="CL44" s="450"/>
      <c r="CM44" s="450"/>
      <c r="CN44" s="450"/>
      <c r="CO44" s="450"/>
      <c r="CP44" s="450"/>
      <c r="CQ44" s="450"/>
      <c r="CR44" s="450"/>
      <c r="CS44" s="450"/>
      <c r="CT44" s="450"/>
      <c r="CU44" s="450"/>
      <c r="CV44" s="450"/>
      <c r="CW44" s="450"/>
      <c r="CX44" s="450"/>
      <c r="CY44" s="450"/>
      <c r="CZ44" s="450"/>
      <c r="DA44" s="450"/>
    </row>
    <row r="45" spans="1:107" customFormat="1" ht="16">
      <c r="A45" s="529"/>
      <c r="B45" s="508"/>
      <c r="C45" s="32" t="s">
        <v>486</v>
      </c>
      <c r="D45" s="243">
        <f>SUM(C39:C43)</f>
        <v>4</v>
      </c>
      <c r="J45" s="638"/>
      <c r="K45" s="450"/>
      <c r="L45" s="450"/>
      <c r="M45" s="450"/>
      <c r="N45" s="450"/>
      <c r="O45" s="450"/>
      <c r="P45" s="450"/>
      <c r="Q45" s="450"/>
      <c r="R45" s="450"/>
      <c r="S45" s="450"/>
      <c r="T45" s="450"/>
      <c r="U45" s="450"/>
      <c r="V45" s="450"/>
      <c r="W45" s="450"/>
      <c r="X45" s="450"/>
      <c r="Y45" s="450"/>
      <c r="Z45" s="450"/>
      <c r="AA45" s="450"/>
      <c r="AB45" s="450"/>
      <c r="AC45" s="450"/>
      <c r="AD45" s="450"/>
      <c r="AE45" s="450"/>
      <c r="AF45" s="450"/>
      <c r="AG45" s="450"/>
      <c r="AH45" s="450"/>
      <c r="AI45" s="450"/>
      <c r="AJ45" s="450"/>
      <c r="AK45" s="450"/>
      <c r="AL45" s="450"/>
      <c r="AM45" s="450"/>
      <c r="AN45" s="450"/>
      <c r="AO45" s="450"/>
      <c r="AP45" s="450"/>
      <c r="AQ45" s="450"/>
      <c r="AR45" s="450"/>
      <c r="AS45" s="450"/>
      <c r="AT45" s="450"/>
      <c r="AU45" s="450"/>
      <c r="AV45" s="450"/>
      <c r="AW45" s="450"/>
      <c r="AX45" s="450"/>
      <c r="AY45" s="450"/>
      <c r="AZ45" s="450"/>
      <c r="BA45" s="450"/>
      <c r="BB45" s="450"/>
      <c r="BC45" s="450"/>
      <c r="BD45" s="450"/>
      <c r="BE45" s="450"/>
      <c r="BF45" s="450"/>
      <c r="BG45" s="450"/>
      <c r="BH45" s="450"/>
      <c r="BI45" s="450"/>
      <c r="BJ45" s="450"/>
      <c r="BK45" s="450"/>
      <c r="BL45" s="450"/>
      <c r="BM45" s="450"/>
      <c r="BN45" s="450"/>
      <c r="BO45" s="450"/>
      <c r="BP45" s="450"/>
      <c r="BQ45" s="450"/>
      <c r="BR45" s="450"/>
      <c r="BS45" s="450"/>
      <c r="BT45" s="450"/>
      <c r="BU45" s="450"/>
      <c r="BV45" s="450"/>
      <c r="BW45" s="450"/>
      <c r="BX45" s="450"/>
      <c r="BY45" s="450"/>
      <c r="BZ45" s="450"/>
      <c r="CA45" s="450"/>
      <c r="CB45" s="450"/>
      <c r="CC45" s="450"/>
      <c r="CD45" s="450"/>
      <c r="CE45" s="450"/>
      <c r="CF45" s="450"/>
      <c r="CG45" s="450"/>
      <c r="CH45" s="450"/>
      <c r="CI45" s="450"/>
      <c r="CJ45" s="450"/>
      <c r="CK45" s="450"/>
      <c r="CL45" s="450"/>
      <c r="CM45" s="450"/>
      <c r="CN45" s="450"/>
      <c r="CO45" s="450"/>
      <c r="CP45" s="450"/>
      <c r="CQ45" s="450"/>
      <c r="CR45" s="450"/>
      <c r="CS45" s="450"/>
      <c r="CT45" s="450"/>
      <c r="CU45" s="450"/>
      <c r="CV45" s="450"/>
      <c r="CW45" s="450"/>
      <c r="CX45" s="450"/>
      <c r="CY45" s="450"/>
      <c r="CZ45" s="450"/>
      <c r="DA45" s="450"/>
    </row>
    <row r="46" spans="1:107" customFormat="1">
      <c r="A46" s="529"/>
      <c r="B46" s="508"/>
      <c r="C46" s="32" t="s">
        <v>487</v>
      </c>
      <c r="D46" s="244">
        <f>D45/C12</f>
        <v>0.66666666666666663</v>
      </c>
      <c r="J46" s="638"/>
      <c r="K46" s="450"/>
      <c r="L46" s="450"/>
      <c r="M46" s="450"/>
      <c r="N46" s="450"/>
      <c r="O46" s="450"/>
      <c r="P46" s="450"/>
      <c r="Q46" s="450"/>
      <c r="R46" s="450"/>
      <c r="S46" s="450"/>
      <c r="T46" s="450"/>
      <c r="U46" s="450"/>
      <c r="V46" s="450"/>
      <c r="W46" s="450"/>
      <c r="X46" s="450"/>
      <c r="Y46" s="450"/>
      <c r="Z46" s="450"/>
      <c r="AA46" s="450"/>
      <c r="AB46" s="450"/>
      <c r="AC46" s="450"/>
      <c r="AD46" s="450"/>
      <c r="AE46" s="450"/>
      <c r="AF46" s="450"/>
      <c r="AG46" s="450"/>
      <c r="AH46" s="450"/>
      <c r="AI46" s="450"/>
      <c r="AJ46" s="450"/>
      <c r="AK46" s="450"/>
      <c r="AL46" s="450"/>
      <c r="AM46" s="450"/>
      <c r="AN46" s="450"/>
      <c r="AO46" s="450"/>
      <c r="AP46" s="450"/>
      <c r="AQ46" s="450"/>
      <c r="AR46" s="450"/>
      <c r="AS46" s="450"/>
      <c r="AT46" s="450"/>
      <c r="AU46" s="450"/>
      <c r="AV46" s="450"/>
      <c r="AW46" s="450"/>
      <c r="AX46" s="450"/>
      <c r="AY46" s="450"/>
      <c r="AZ46" s="450"/>
      <c r="BA46" s="450"/>
      <c r="BB46" s="450"/>
      <c r="BC46" s="450"/>
      <c r="BD46" s="450"/>
      <c r="BE46" s="450"/>
      <c r="BF46" s="450"/>
      <c r="BG46" s="450"/>
      <c r="BH46" s="450"/>
      <c r="BI46" s="450"/>
      <c r="BJ46" s="450"/>
      <c r="BK46" s="450"/>
      <c r="BL46" s="450"/>
      <c r="BM46" s="450"/>
      <c r="BN46" s="450"/>
      <c r="BO46" s="450"/>
      <c r="BP46" s="450"/>
      <c r="BQ46" s="450"/>
      <c r="BR46" s="450"/>
      <c r="BS46" s="450"/>
      <c r="BT46" s="450"/>
      <c r="BU46" s="450"/>
      <c r="BV46" s="450"/>
      <c r="BW46" s="450"/>
      <c r="BX46" s="450"/>
      <c r="BY46" s="450"/>
      <c r="BZ46" s="450"/>
      <c r="CA46" s="450"/>
      <c r="CB46" s="450"/>
      <c r="CC46" s="450"/>
      <c r="CD46" s="450"/>
      <c r="CE46" s="450"/>
      <c r="CF46" s="450"/>
      <c r="CG46" s="450"/>
      <c r="CH46" s="450"/>
      <c r="CI46" s="450"/>
      <c r="CJ46" s="450"/>
      <c r="CK46" s="450"/>
      <c r="CL46" s="450"/>
      <c r="CM46" s="450"/>
      <c r="CN46" s="450"/>
      <c r="CO46" s="450"/>
      <c r="CP46" s="450"/>
      <c r="CQ46" s="450"/>
      <c r="CR46" s="450"/>
      <c r="CS46" s="450"/>
      <c r="CT46" s="450"/>
      <c r="CU46" s="450"/>
      <c r="CV46" s="450"/>
      <c r="CW46" s="450"/>
      <c r="CX46" s="450"/>
      <c r="CY46" s="450"/>
      <c r="CZ46" s="450"/>
      <c r="DA46" s="450"/>
    </row>
    <row r="47" spans="1:107" s="509" customFormat="1" ht="14" thickBot="1">
      <c r="B47" s="508"/>
      <c r="C47" s="115"/>
      <c r="D47" s="115"/>
      <c r="E47" s="115"/>
      <c r="F47" s="115"/>
      <c r="G47" s="115"/>
      <c r="H47" s="115"/>
      <c r="I47" s="115"/>
      <c r="J47" s="632"/>
    </row>
    <row r="48" spans="1:107" s="509" customFormat="1" ht="14" thickBot="1">
      <c r="B48" s="645"/>
      <c r="C48" s="643"/>
      <c r="D48" s="643"/>
      <c r="E48" s="643"/>
      <c r="F48" s="643"/>
      <c r="G48" s="643"/>
      <c r="H48" s="643"/>
      <c r="I48" s="643"/>
      <c r="J48" s="632"/>
    </row>
    <row r="49" spans="2:10" s="509" customFormat="1" ht="14" thickBot="1">
      <c r="B49" s="536" t="s">
        <v>488</v>
      </c>
      <c r="C49" s="565"/>
      <c r="F49" s="577" t="s">
        <v>506</v>
      </c>
      <c r="G49" s="578" t="s">
        <v>507</v>
      </c>
      <c r="H49" s="578" t="s">
        <v>508</v>
      </c>
      <c r="I49" s="578" t="s">
        <v>509</v>
      </c>
      <c r="J49" s="632"/>
    </row>
    <row r="50" spans="2:10" s="509" customFormat="1">
      <c r="B50" s="534" t="s">
        <v>489</v>
      </c>
      <c r="C50" s="576">
        <f>QualityHomeProfile!A20</f>
        <v>1</v>
      </c>
      <c r="F50" s="354" t="str">
        <f>D7</f>
        <v>Infantes</v>
      </c>
      <c r="G50" s="611">
        <f>QualityHomeProfile!C6</f>
        <v>15845.950668712983</v>
      </c>
      <c r="H50" s="611">
        <f>G50/12</f>
        <v>1320.4958890594153</v>
      </c>
      <c r="I50" s="611">
        <f>G50/52</f>
        <v>304.72982055217278</v>
      </c>
      <c r="J50" s="632"/>
    </row>
    <row r="51" spans="2:10" s="509" customFormat="1">
      <c r="B51" s="534"/>
      <c r="C51" s="566"/>
      <c r="F51" s="354" t="str">
        <f>D8</f>
        <v>niños de dos años</v>
      </c>
      <c r="G51" s="611">
        <f>QualityHomeProfile!C7</f>
        <v>15845.950668712983</v>
      </c>
      <c r="H51" s="611">
        <f>G51/12</f>
        <v>1320.4958890594153</v>
      </c>
      <c r="I51" s="611">
        <f>G51/52</f>
        <v>304.72982055217278</v>
      </c>
      <c r="J51" s="632"/>
    </row>
    <row r="52" spans="2:10" s="509" customFormat="1">
      <c r="B52" s="538" t="s">
        <v>490</v>
      </c>
      <c r="C52" s="610"/>
      <c r="F52" s="354" t="str">
        <f>D9</f>
        <v>niños de tres años</v>
      </c>
      <c r="G52" s="611">
        <f>QualityHomeProfile!C8</f>
        <v>15845.950668712983</v>
      </c>
      <c r="H52" s="611">
        <f>G52/12</f>
        <v>1320.4958890594153</v>
      </c>
      <c r="I52" s="611">
        <f>G52/52</f>
        <v>304.72982055217278</v>
      </c>
      <c r="J52" s="632"/>
    </row>
    <row r="53" spans="2:10" s="509" customFormat="1">
      <c r="B53" s="545" t="s">
        <v>480</v>
      </c>
      <c r="C53" s="567">
        <f>QualityHomeProfile!D20</f>
        <v>52101.287999999993</v>
      </c>
      <c r="F53" s="354" t="str">
        <f>D10</f>
        <v>niños de cuatro años</v>
      </c>
      <c r="G53" s="611">
        <f>QualityHomeProfile!C9</f>
        <v>15845.950668712983</v>
      </c>
      <c r="H53" s="611">
        <f>G53/12</f>
        <v>1320.4958890594153</v>
      </c>
      <c r="I53" s="611">
        <f>G53/52</f>
        <v>304.72982055217278</v>
      </c>
      <c r="J53" s="632"/>
    </row>
    <row r="54" spans="2:10" s="509" customFormat="1" ht="14" thickBot="1">
      <c r="B54" s="545" t="s">
        <v>491</v>
      </c>
      <c r="C54" s="567">
        <f>SUM(QualityHomeProfile!D27,QualityHomeProfile!D33)</f>
        <v>14784.29996276923</v>
      </c>
      <c r="F54" s="355" t="str">
        <f>D11</f>
        <v>edad escolar</v>
      </c>
      <c r="G54" s="352">
        <f>QualityHomeProfile!C10</f>
        <v>8803.3059270627673</v>
      </c>
      <c r="H54" s="356">
        <f>G54/12</f>
        <v>733.60882725523061</v>
      </c>
      <c r="I54" s="356">
        <f>G54/52</f>
        <v>169.29434475120706</v>
      </c>
      <c r="J54" s="632"/>
    </row>
    <row r="55" spans="2:10" s="509" customFormat="1" ht="14" thickBot="1">
      <c r="B55" s="544" t="s">
        <v>489</v>
      </c>
      <c r="C55" s="568">
        <f>SUM(C53:C54)</f>
        <v>66885.587962769219</v>
      </c>
      <c r="J55" s="632"/>
    </row>
    <row r="56" spans="2:10" s="509" customFormat="1" ht="29" thickBot="1">
      <c r="B56" s="545"/>
      <c r="C56" s="569"/>
      <c r="F56" s="603" t="s">
        <v>510</v>
      </c>
      <c r="G56" s="446" t="s">
        <v>511</v>
      </c>
      <c r="H56" s="446" t="s">
        <v>512</v>
      </c>
      <c r="I56" s="628" t="s">
        <v>513</v>
      </c>
      <c r="J56" s="632"/>
    </row>
    <row r="57" spans="2:10" s="509" customFormat="1">
      <c r="B57" s="545" t="s">
        <v>492</v>
      </c>
      <c r="C57" s="569">
        <f>QualityHomeProfile!D39</f>
        <v>3861.5735199999999</v>
      </c>
      <c r="F57" s="90" t="str">
        <f>D7</f>
        <v>Infantes</v>
      </c>
      <c r="G57" s="350">
        <f>H57*12</f>
        <v>16500</v>
      </c>
      <c r="H57" s="350">
        <f>IF(AND(E$12="Casa de grupo",F$2=G$2),'Subsidy rates'!B20,
IF(AND(E$12="Casa de grupo",F$2=H$2),'Subsidy rates'!C20,
IF(AND(E$12="Casa de grupo",F$2=I$2),'Subsidy rates'!D20,
IF(AND(E$12="Casa de grupo",F$2=J$2),'Subsidy rates'!E20,
IF(F$2=G$2,'Subsidy rates'!B11,
IF(F$2=H$2,'Subsidy rates'!C11,
IF(F$2=I$2,'Subsidy rates'!D11,
IF(F$2=J$2,'Subsidy rates'!E11,0))))))))</f>
        <v>1375</v>
      </c>
      <c r="I57" s="629">
        <f>G57/52</f>
        <v>317.30769230769232</v>
      </c>
      <c r="J57" s="632"/>
    </row>
    <row r="58" spans="2:10" s="509" customFormat="1">
      <c r="B58" s="545" t="s">
        <v>493</v>
      </c>
      <c r="C58" s="569">
        <f>QualityHomeProfile!D40</f>
        <v>7192.9223463999997</v>
      </c>
      <c r="F58" s="90" t="str">
        <f>D8</f>
        <v>niños de dos años</v>
      </c>
      <c r="G58" s="542">
        <f t="shared" ref="G58:G60" si="2">H58*12</f>
        <v>15900</v>
      </c>
      <c r="H58" s="542">
        <f>IF(AND(E$12="Casa de grupo",F$2=G$2),'Subsidy rates'!B21,
IF(AND(E$12="Casa de grupo",F$2=H$2),'Subsidy rates'!C21,
IF(AND(E$12="Casa de grupo",F$2=I$2),'Subsidy rates'!D21,
IF(AND(E$12="Casa de grupo",F$2=J$2),'Subsidy rates'!E21,
IF(F$2=G$2,'Subsidy rates'!B12,
IF(F$2=H$2,'Subsidy rates'!C12,
IF(F$2=I$2,'Subsidy rates'!D12,
IF(F$2=J$2,'Subsidy rates'!E12,0))))))))</f>
        <v>1325</v>
      </c>
      <c r="I58" s="630">
        <f t="shared" ref="I58:I60" si="3">G58/52</f>
        <v>305.76923076923077</v>
      </c>
      <c r="J58" s="632"/>
    </row>
    <row r="59" spans="2:10" s="509" customFormat="1">
      <c r="B59" s="545" t="s">
        <v>494</v>
      </c>
      <c r="C59" s="569">
        <f>QualityHomeProfile!D42</f>
        <v>5900.9250000000002</v>
      </c>
      <c r="F59" s="90" t="str">
        <f>D9</f>
        <v>niños de tres años</v>
      </c>
      <c r="G59" s="542">
        <f t="shared" si="2"/>
        <v>13920</v>
      </c>
      <c r="H59" s="542">
        <f>IF(AND(E$12="Casa de grupo",F$2=G$2),'Subsidy rates'!B22,
IF(AND(E$12="Casa de grupo",F$2=H$2),'Subsidy rates'!C22,
IF(AND(E$12="Casa de grupo",F$2=I$2),'Subsidy rates'!D22,
IF(AND(E$12="Casa de grupo",F$2=J$2),'Subsidy rates'!E22,
IF(F$2=G$2,'Subsidy rates'!B13,
IF(F$2=H$2,'Subsidy rates'!C13,
IF(F$2=I$2,'Subsidy rates'!D13,
IF(F$2=J$2,'Subsidy rates'!E13,0))))))))</f>
        <v>1160</v>
      </c>
      <c r="I59" s="630">
        <f t="shared" si="3"/>
        <v>267.69230769230768</v>
      </c>
      <c r="J59" s="632"/>
    </row>
    <row r="60" spans="2:10" s="509" customFormat="1">
      <c r="B60" s="545" t="s">
        <v>495</v>
      </c>
      <c r="C60" s="569">
        <f>QualityHomeProfile!D44</f>
        <v>4192.0504414584611</v>
      </c>
      <c r="F60" s="90" t="str">
        <f>D10</f>
        <v>niños de cuatro años</v>
      </c>
      <c r="G60" s="542">
        <f t="shared" si="2"/>
        <v>13920</v>
      </c>
      <c r="H60" s="542">
        <f>IF(AND(E$12="Casa de grupo",F$2=G$2),'Subsidy rates'!B23,
IF(AND(E$12="Casa de grupo",F$2=H$2),'Subsidy rates'!C23,
IF(AND(E$12="Casa de grupo",F$2=I$2),'Subsidy rates'!D23,
IF(AND(E$12="Casa de grupo",F$2=J$2),'Subsidy rates'!E23,
IF(F$2=G$2,'Subsidy rates'!B14,
IF(F$2=H$2,'Subsidy rates'!C14,
IF(F$2=I$2,'Subsidy rates'!D14,
IF(F$2=J$2,'Subsidy rates'!E14,0))))))))</f>
        <v>1160</v>
      </c>
      <c r="I60" s="630">
        <f t="shared" si="3"/>
        <v>267.69230769230768</v>
      </c>
      <c r="J60" s="632"/>
    </row>
    <row r="61" spans="2:10" s="509" customFormat="1" ht="14" thickBot="1">
      <c r="B61" s="544" t="s">
        <v>496</v>
      </c>
      <c r="C61" s="568">
        <f>SUM(C56:C60)</f>
        <v>21147.471307858461</v>
      </c>
      <c r="F61" s="91" t="str">
        <f>D11</f>
        <v>edad escolar</v>
      </c>
      <c r="G61" s="92">
        <f>H61*12</f>
        <v>8700</v>
      </c>
      <c r="H61" s="92">
        <f>IF(AND(E$12="Casa de grupo",F$2=G$2),'Subsidy rates'!B24,
IF(AND(E$12="Casa de grupo",F$2=H$2),'Subsidy rates'!C24,
IF(AND(E$12="Casa de grupo",F$2=I$2),'Subsidy rates'!D24,
IF(AND(E$12="Casa de grupo",F$2=J$2),'Subsidy rates'!E24,
IF(F$2=G$2,'Subsidy rates'!B15,
IF(F$2=H$2,'Subsidy rates'!C15,
IF(F$2=I$2,'Subsidy rates'!D15,
IF(F$2=J$2,'Subsidy rates'!E15,0))))))))</f>
        <v>725</v>
      </c>
      <c r="I61" s="631">
        <f>G61/52</f>
        <v>167.30769230769232</v>
      </c>
      <c r="J61" s="632"/>
    </row>
    <row r="62" spans="2:10" s="509" customFormat="1" ht="14" thickBot="1">
      <c r="B62" s="544"/>
      <c r="C62" s="568"/>
      <c r="F62" s="646"/>
      <c r="G62" s="646"/>
      <c r="H62" s="647"/>
      <c r="I62" s="450"/>
      <c r="J62" s="632"/>
    </row>
    <row r="63" spans="2:10" s="509" customFormat="1" ht="14" thickBot="1">
      <c r="B63" s="538" t="s">
        <v>497</v>
      </c>
      <c r="C63" s="570">
        <f>SUM(C55,C61)</f>
        <v>88033.05927062768</v>
      </c>
      <c r="F63" s="447" t="s">
        <v>514</v>
      </c>
      <c r="G63" s="448" t="str">
        <f>G56</f>
        <v>Anual, por niño</v>
      </c>
      <c r="H63" s="448" t="str">
        <f>H56</f>
        <v>Mensual, por niño</v>
      </c>
      <c r="I63" s="448" t="str">
        <f>I56</f>
        <v>Semanal, por niño</v>
      </c>
      <c r="J63" s="632"/>
    </row>
    <row r="64" spans="2:10" s="509" customFormat="1">
      <c r="B64" s="534"/>
      <c r="C64" s="566"/>
      <c r="F64" s="197" t="str">
        <f>F57</f>
        <v>Infantes</v>
      </c>
      <c r="G64" s="198">
        <f t="shared" ref="G64:I68" si="4">G57-G50</f>
        <v>654.04933128701668</v>
      </c>
      <c r="H64" s="198">
        <f t="shared" si="4"/>
        <v>54.504110940584724</v>
      </c>
      <c r="I64" s="198">
        <f t="shared" si="4"/>
        <v>12.577871755519539</v>
      </c>
      <c r="J64" s="632"/>
    </row>
    <row r="65" spans="1:107" s="509" customFormat="1">
      <c r="B65" s="538" t="s">
        <v>498</v>
      </c>
      <c r="C65" s="610"/>
      <c r="F65" s="199" t="str">
        <f t="shared" ref="F65:F68" si="5">F58</f>
        <v>niños de dos años</v>
      </c>
      <c r="G65" s="530">
        <f t="shared" si="4"/>
        <v>54.049331287016685</v>
      </c>
      <c r="H65" s="530">
        <f t="shared" si="4"/>
        <v>4.5041109405847237</v>
      </c>
      <c r="I65" s="530">
        <f t="shared" si="4"/>
        <v>1.0394102170579913</v>
      </c>
      <c r="J65" s="632"/>
    </row>
    <row r="66" spans="1:107" s="509" customFormat="1">
      <c r="B66" s="534" t="s">
        <v>439</v>
      </c>
      <c r="C66" s="567">
        <f>QualityHomeProfile!D54</f>
        <v>7124</v>
      </c>
      <c r="F66" s="199" t="str">
        <f t="shared" si="5"/>
        <v>niños de tres años</v>
      </c>
      <c r="G66" s="530">
        <f t="shared" si="4"/>
        <v>-1925.9506687129833</v>
      </c>
      <c r="H66" s="530">
        <f t="shared" si="4"/>
        <v>-160.49588905941528</v>
      </c>
      <c r="I66" s="530">
        <f t="shared" si="4"/>
        <v>-37.037512859865103</v>
      </c>
      <c r="J66" s="632"/>
    </row>
    <row r="67" spans="1:107" s="509" customFormat="1">
      <c r="B67" s="534" t="s">
        <v>499</v>
      </c>
      <c r="C67" s="567">
        <f>QualityHomeProfile!D55</f>
        <v>12844.800000000001</v>
      </c>
      <c r="F67" s="199" t="str">
        <f t="shared" si="5"/>
        <v>niños de cuatro años</v>
      </c>
      <c r="G67" s="530">
        <f t="shared" si="4"/>
        <v>-1925.9506687129833</v>
      </c>
      <c r="H67" s="530">
        <f t="shared" si="4"/>
        <v>-160.49588905941528</v>
      </c>
      <c r="I67" s="530">
        <f t="shared" si="4"/>
        <v>-37.037512859865103</v>
      </c>
      <c r="J67" s="632"/>
    </row>
    <row r="68" spans="1:107" s="509" customFormat="1" ht="14" thickBot="1">
      <c r="B68" s="534" t="s">
        <v>500</v>
      </c>
      <c r="C68" s="567">
        <f>QualityHomeProfile!D56</f>
        <v>16500</v>
      </c>
      <c r="F68" s="200" t="str">
        <f t="shared" si="5"/>
        <v>edad escolar</v>
      </c>
      <c r="G68" s="201">
        <f t="shared" si="4"/>
        <v>-103.3059270627673</v>
      </c>
      <c r="H68" s="201">
        <f t="shared" si="4"/>
        <v>-8.608827255230608</v>
      </c>
      <c r="I68" s="201">
        <f t="shared" si="4"/>
        <v>-1.9866524435147426</v>
      </c>
      <c r="J68" s="632"/>
    </row>
    <row r="69" spans="1:107" s="509" customFormat="1" ht="14" thickBot="1">
      <c r="B69" s="648" t="s">
        <v>501</v>
      </c>
      <c r="C69" s="567">
        <f>QualityHomeProfile!D57</f>
        <v>0</v>
      </c>
      <c r="J69" s="632"/>
    </row>
    <row r="70" spans="1:107" s="509" customFormat="1" ht="19" customHeight="1" thickBot="1">
      <c r="B70" s="571" t="s">
        <v>503</v>
      </c>
      <c r="C70" s="649">
        <f>QualityHomeProfile!F62</f>
        <v>-6564.3840000000018</v>
      </c>
      <c r="F70" s="604" t="s">
        <v>515</v>
      </c>
      <c r="G70" s="605" t="s">
        <v>516</v>
      </c>
      <c r="H70" s="605" t="s">
        <v>517</v>
      </c>
      <c r="I70" s="605" t="s">
        <v>518</v>
      </c>
      <c r="J70" s="632"/>
    </row>
    <row r="71" spans="1:107">
      <c r="B71" s="538" t="s">
        <v>502</v>
      </c>
      <c r="C71" s="575">
        <f>QualityHomeProfile!D65</f>
        <v>29904.416000000005</v>
      </c>
      <c r="D71" s="509"/>
      <c r="E71" s="644">
        <v>1.1000000000000001</v>
      </c>
      <c r="F71" s="606" t="str">
        <f>F50</f>
        <v>Infantes</v>
      </c>
      <c r="G71" s="612">
        <f>QualityHomeProfile!C6*E71</f>
        <v>17430.545735584285</v>
      </c>
      <c r="H71" s="612">
        <f>G71/12</f>
        <v>1452.5454779653571</v>
      </c>
      <c r="I71" s="612">
        <f>G71/52</f>
        <v>335.20280260739008</v>
      </c>
      <c r="DB71" s="115"/>
      <c r="DC71" s="115"/>
    </row>
    <row r="72" spans="1:107" ht="31" customHeight="1">
      <c r="B72" s="572"/>
      <c r="C72" s="573"/>
      <c r="D72" s="509"/>
      <c r="E72" s="644">
        <v>1.04</v>
      </c>
      <c r="F72" s="606" t="str">
        <f>F51</f>
        <v>niños de dos años</v>
      </c>
      <c r="G72" s="612">
        <f>QualityHomeProfile!C7*E72</f>
        <v>16479.788695461502</v>
      </c>
      <c r="H72" s="612">
        <f>G72/12</f>
        <v>1373.3157246217918</v>
      </c>
      <c r="I72" s="612">
        <f>G72/52</f>
        <v>316.91901337425963</v>
      </c>
      <c r="J72" s="640"/>
      <c r="DB72" s="115"/>
      <c r="DC72" s="115"/>
    </row>
    <row r="73" spans="1:107" ht="20" customHeight="1">
      <c r="B73" s="572" t="s">
        <v>504</v>
      </c>
      <c r="C73" s="573">
        <f>QualityHomeProfile!D66</f>
        <v>-58128.643270627676</v>
      </c>
      <c r="D73" s="509"/>
      <c r="E73" s="644">
        <v>0.93</v>
      </c>
      <c r="F73" s="606" t="str">
        <f>F52</f>
        <v>niños de tres años</v>
      </c>
      <c r="G73" s="612">
        <f>QualityHomeProfile!C8*E73</f>
        <v>14736.734121903075</v>
      </c>
      <c r="H73" s="612">
        <f>G73/12</f>
        <v>1228.0611768252563</v>
      </c>
      <c r="I73" s="612">
        <f>G73/52</f>
        <v>283.39873311352068</v>
      </c>
      <c r="J73" s="640"/>
      <c r="DB73" s="115"/>
      <c r="DC73" s="115"/>
    </row>
    <row r="74" spans="1:107" ht="14" thickBot="1">
      <c r="B74" s="535" t="s">
        <v>505</v>
      </c>
      <c r="C74" s="574">
        <f>QualityHomeProfile!E66</f>
        <v>-0.66030470543947528</v>
      </c>
      <c r="D74" s="509"/>
      <c r="E74" s="644">
        <v>0.93</v>
      </c>
      <c r="F74" s="606" t="str">
        <f>F53</f>
        <v>niños de cuatro años</v>
      </c>
      <c r="G74" s="612">
        <f>QualityHomeProfile!C9*E74</f>
        <v>14736.734121903075</v>
      </c>
      <c r="H74" s="612">
        <f>G74/12</f>
        <v>1228.0611768252563</v>
      </c>
      <c r="I74" s="612">
        <f>G74/52</f>
        <v>283.39873311352068</v>
      </c>
      <c r="J74" s="640"/>
      <c r="DB74" s="115"/>
      <c r="DC74" s="115"/>
    </row>
    <row r="75" spans="1:107" ht="19" customHeight="1" thickBot="1">
      <c r="B75" s="645"/>
      <c r="C75" s="643"/>
      <c r="D75" s="509"/>
      <c r="E75" s="644">
        <v>1</v>
      </c>
      <c r="F75" s="607" t="str">
        <f>F54</f>
        <v>edad escolar</v>
      </c>
      <c r="G75" s="608">
        <f>QualityHomeProfile!C10*E75</f>
        <v>8803.3059270627673</v>
      </c>
      <c r="H75" s="608">
        <f>G75/12</f>
        <v>733.60882725523061</v>
      </c>
      <c r="I75" s="608">
        <f>G75/52</f>
        <v>169.29434475120706</v>
      </c>
      <c r="J75" s="640"/>
      <c r="DB75" s="115"/>
      <c r="DC75" s="115"/>
    </row>
    <row r="76" spans="1:107" ht="14" thickBot="1">
      <c r="B76" s="632"/>
      <c r="C76" s="509"/>
      <c r="D76" s="509"/>
      <c r="E76" s="509"/>
      <c r="F76" s="509"/>
      <c r="G76" s="509"/>
      <c r="H76" s="509"/>
      <c r="I76" s="509"/>
      <c r="J76" s="640"/>
      <c r="DB76" s="115"/>
      <c r="DC76" s="115"/>
    </row>
    <row r="77" spans="1:107" ht="29" thickBot="1">
      <c r="B77" s="632"/>
      <c r="C77" s="509"/>
      <c r="D77" s="509"/>
      <c r="E77" s="509"/>
      <c r="F77" s="650" t="s">
        <v>523</v>
      </c>
      <c r="G77" s="448" t="s">
        <v>519</v>
      </c>
      <c r="H77" s="448" t="s">
        <v>520</v>
      </c>
      <c r="I77" s="448" t="s">
        <v>521</v>
      </c>
      <c r="J77" s="640"/>
      <c r="DB77" s="115"/>
      <c r="DC77" s="115"/>
    </row>
    <row r="78" spans="1:107" customFormat="1">
      <c r="A78" s="450"/>
      <c r="B78" s="632"/>
      <c r="C78" s="509"/>
      <c r="D78" s="509"/>
      <c r="E78" s="509"/>
      <c r="F78" s="197" t="str">
        <f>F71</f>
        <v>Infantes</v>
      </c>
      <c r="G78" s="198">
        <f t="shared" ref="G78:I82" si="6">G57-G71</f>
        <v>-930.54573558428456</v>
      </c>
      <c r="H78" s="198">
        <f t="shared" si="6"/>
        <v>-77.545477965357122</v>
      </c>
      <c r="I78" s="198">
        <f t="shared" si="6"/>
        <v>-17.895110299697762</v>
      </c>
      <c r="J78" s="638"/>
      <c r="K78" s="450"/>
      <c r="L78" s="450"/>
      <c r="M78" s="450"/>
      <c r="N78" s="450"/>
      <c r="O78" s="450"/>
      <c r="P78" s="450"/>
      <c r="Q78" s="450"/>
      <c r="R78" s="450"/>
      <c r="S78" s="450"/>
      <c r="T78" s="450"/>
      <c r="U78" s="450"/>
      <c r="V78" s="450"/>
      <c r="W78" s="450"/>
      <c r="X78" s="450"/>
      <c r="Y78" s="450"/>
      <c r="Z78" s="450"/>
      <c r="AA78" s="450"/>
      <c r="AB78" s="450"/>
      <c r="AC78" s="450"/>
      <c r="AD78" s="450"/>
      <c r="AE78" s="450"/>
      <c r="AF78" s="450"/>
      <c r="AG78" s="450"/>
      <c r="AH78" s="450"/>
      <c r="AI78" s="450"/>
      <c r="AJ78" s="450"/>
      <c r="AK78" s="450"/>
      <c r="AL78" s="450"/>
      <c r="AM78" s="450"/>
      <c r="AN78" s="450"/>
      <c r="AO78" s="450"/>
      <c r="AP78" s="450"/>
      <c r="AQ78" s="450"/>
      <c r="AR78" s="450"/>
      <c r="AS78" s="450"/>
      <c r="AT78" s="450"/>
      <c r="AU78" s="450"/>
      <c r="AV78" s="450"/>
      <c r="AW78" s="450"/>
      <c r="AX78" s="450"/>
      <c r="AY78" s="450"/>
      <c r="AZ78" s="450"/>
      <c r="BA78" s="450"/>
      <c r="BB78" s="450"/>
      <c r="BC78" s="450"/>
      <c r="BD78" s="450"/>
      <c r="BE78" s="450"/>
      <c r="BF78" s="450"/>
      <c r="BG78" s="450"/>
      <c r="BH78" s="450"/>
      <c r="BI78" s="450"/>
      <c r="BJ78" s="450"/>
      <c r="BK78" s="450"/>
      <c r="BL78" s="450"/>
      <c r="BM78" s="450"/>
      <c r="BN78" s="450"/>
      <c r="BO78" s="450"/>
      <c r="BP78" s="450"/>
      <c r="BQ78" s="450"/>
      <c r="BR78" s="450"/>
      <c r="BS78" s="450"/>
      <c r="BT78" s="450"/>
      <c r="BU78" s="450"/>
      <c r="BV78" s="450"/>
      <c r="BW78" s="450"/>
      <c r="BX78" s="450"/>
      <c r="BY78" s="450"/>
      <c r="BZ78" s="450"/>
      <c r="CA78" s="450"/>
      <c r="CB78" s="450"/>
      <c r="CC78" s="450"/>
      <c r="CD78" s="450"/>
      <c r="CE78" s="450"/>
      <c r="CF78" s="450"/>
      <c r="CG78" s="450"/>
      <c r="CH78" s="450"/>
      <c r="CI78" s="450"/>
      <c r="CJ78" s="450"/>
      <c r="CK78" s="450"/>
      <c r="CL78" s="450"/>
      <c r="CM78" s="450"/>
      <c r="CN78" s="450"/>
      <c r="CO78" s="450"/>
      <c r="CP78" s="450"/>
      <c r="CQ78" s="450"/>
      <c r="CR78" s="450"/>
      <c r="CS78" s="450"/>
      <c r="CT78" s="450"/>
      <c r="CU78" s="450"/>
      <c r="CV78" s="450"/>
      <c r="CW78" s="450"/>
      <c r="CX78" s="450"/>
      <c r="CY78" s="450"/>
      <c r="CZ78" s="450"/>
      <c r="DA78" s="450"/>
    </row>
    <row r="79" spans="1:107" customFormat="1">
      <c r="A79" s="450"/>
      <c r="B79" s="632"/>
      <c r="C79" s="509"/>
      <c r="D79" s="509"/>
      <c r="E79" s="509"/>
      <c r="F79" s="199" t="str">
        <f>F72</f>
        <v>niños de dos años</v>
      </c>
      <c r="G79" s="530">
        <f t="shared" si="6"/>
        <v>-579.78869546150236</v>
      </c>
      <c r="H79" s="530">
        <f t="shared" si="6"/>
        <v>-48.315724621791787</v>
      </c>
      <c r="I79" s="530">
        <f t="shared" si="6"/>
        <v>-11.149782605028861</v>
      </c>
      <c r="J79" s="638"/>
      <c r="K79" s="450"/>
      <c r="L79" s="450"/>
      <c r="M79" s="450"/>
      <c r="N79" s="450"/>
      <c r="O79" s="450"/>
      <c r="P79" s="450"/>
      <c r="Q79" s="450"/>
      <c r="R79" s="450"/>
      <c r="S79" s="450"/>
      <c r="T79" s="450"/>
      <c r="U79" s="450"/>
      <c r="V79" s="450"/>
      <c r="W79" s="450"/>
      <c r="X79" s="450"/>
      <c r="Y79" s="450"/>
      <c r="Z79" s="450"/>
      <c r="AA79" s="450"/>
      <c r="AB79" s="450"/>
      <c r="AC79" s="450"/>
      <c r="AD79" s="450"/>
      <c r="AE79" s="450"/>
      <c r="AF79" s="450"/>
      <c r="AG79" s="450"/>
      <c r="AH79" s="450"/>
      <c r="AI79" s="450"/>
      <c r="AJ79" s="450"/>
      <c r="AK79" s="450"/>
      <c r="AL79" s="450"/>
      <c r="AM79" s="450"/>
      <c r="AN79" s="450"/>
      <c r="AO79" s="450"/>
      <c r="AP79" s="450"/>
      <c r="AQ79" s="450"/>
      <c r="AR79" s="450"/>
      <c r="AS79" s="450"/>
      <c r="AT79" s="450"/>
      <c r="AU79" s="450"/>
      <c r="AV79" s="450"/>
      <c r="AW79" s="450"/>
      <c r="AX79" s="450"/>
      <c r="AY79" s="450"/>
      <c r="AZ79" s="450"/>
      <c r="BA79" s="450"/>
      <c r="BB79" s="450"/>
      <c r="BC79" s="450"/>
      <c r="BD79" s="450"/>
      <c r="BE79" s="450"/>
      <c r="BF79" s="450"/>
      <c r="BG79" s="450"/>
      <c r="BH79" s="450"/>
      <c r="BI79" s="450"/>
      <c r="BJ79" s="450"/>
      <c r="BK79" s="450"/>
      <c r="BL79" s="450"/>
      <c r="BM79" s="450"/>
      <c r="BN79" s="450"/>
      <c r="BO79" s="450"/>
      <c r="BP79" s="450"/>
      <c r="BQ79" s="450"/>
      <c r="BR79" s="450"/>
      <c r="BS79" s="450"/>
      <c r="BT79" s="450"/>
      <c r="BU79" s="450"/>
      <c r="BV79" s="450"/>
      <c r="BW79" s="450"/>
      <c r="BX79" s="450"/>
      <c r="BY79" s="450"/>
      <c r="BZ79" s="450"/>
      <c r="CA79" s="450"/>
      <c r="CB79" s="450"/>
      <c r="CC79" s="450"/>
      <c r="CD79" s="450"/>
      <c r="CE79" s="450"/>
      <c r="CF79" s="450"/>
      <c r="CG79" s="450"/>
      <c r="CH79" s="450"/>
      <c r="CI79" s="450"/>
      <c r="CJ79" s="450"/>
      <c r="CK79" s="450"/>
      <c r="CL79" s="450"/>
      <c r="CM79" s="450"/>
      <c r="CN79" s="450"/>
      <c r="CO79" s="450"/>
      <c r="CP79" s="450"/>
      <c r="CQ79" s="450"/>
      <c r="CR79" s="450"/>
      <c r="CS79" s="450"/>
      <c r="CT79" s="450"/>
      <c r="CU79" s="450"/>
      <c r="CV79" s="450"/>
      <c r="CW79" s="450"/>
      <c r="CX79" s="450"/>
      <c r="CY79" s="450"/>
      <c r="CZ79" s="450"/>
      <c r="DA79" s="450"/>
    </row>
    <row r="80" spans="1:107" customFormat="1">
      <c r="A80" s="450"/>
      <c r="B80" s="632"/>
      <c r="C80" s="509"/>
      <c r="D80" s="509"/>
      <c r="E80" s="509"/>
      <c r="F80" s="199" t="str">
        <f>F73</f>
        <v>niños de tres años</v>
      </c>
      <c r="G80" s="530">
        <f t="shared" si="6"/>
        <v>-816.73412190307499</v>
      </c>
      <c r="H80" s="530">
        <f t="shared" si="6"/>
        <v>-68.061176825256325</v>
      </c>
      <c r="I80" s="530">
        <f t="shared" si="6"/>
        <v>-15.706425421212998</v>
      </c>
      <c r="J80" s="638"/>
      <c r="K80" s="450"/>
      <c r="L80" s="450"/>
      <c r="M80" s="450"/>
      <c r="N80" s="450"/>
      <c r="O80" s="450"/>
      <c r="P80" s="450"/>
      <c r="Q80" s="450"/>
      <c r="R80" s="450"/>
      <c r="S80" s="450"/>
      <c r="T80" s="450"/>
      <c r="U80" s="450"/>
      <c r="V80" s="450"/>
      <c r="W80" s="450"/>
      <c r="X80" s="450"/>
      <c r="Y80" s="450"/>
      <c r="Z80" s="450"/>
      <c r="AA80" s="450"/>
      <c r="AB80" s="450"/>
      <c r="AC80" s="450"/>
      <c r="AD80" s="450"/>
      <c r="AE80" s="450"/>
      <c r="AF80" s="450"/>
      <c r="AG80" s="450"/>
      <c r="AH80" s="450"/>
      <c r="AI80" s="450"/>
      <c r="AJ80" s="450"/>
      <c r="AK80" s="450"/>
      <c r="AL80" s="450"/>
      <c r="AM80" s="450"/>
      <c r="AN80" s="450"/>
      <c r="AO80" s="450"/>
      <c r="AP80" s="450"/>
      <c r="AQ80" s="450"/>
      <c r="AR80" s="450"/>
      <c r="AS80" s="450"/>
      <c r="AT80" s="450"/>
      <c r="AU80" s="450"/>
      <c r="AV80" s="450"/>
      <c r="AW80" s="450"/>
      <c r="AX80" s="450"/>
      <c r="AY80" s="450"/>
      <c r="AZ80" s="450"/>
      <c r="BA80" s="450"/>
      <c r="BB80" s="450"/>
      <c r="BC80" s="450"/>
      <c r="BD80" s="450"/>
      <c r="BE80" s="450"/>
      <c r="BF80" s="450"/>
      <c r="BG80" s="450"/>
      <c r="BH80" s="450"/>
      <c r="BI80" s="450"/>
      <c r="BJ80" s="450"/>
      <c r="BK80" s="450"/>
      <c r="BL80" s="450"/>
      <c r="BM80" s="450"/>
      <c r="BN80" s="450"/>
      <c r="BO80" s="450"/>
      <c r="BP80" s="450"/>
      <c r="BQ80" s="450"/>
      <c r="BR80" s="450"/>
      <c r="BS80" s="450"/>
      <c r="BT80" s="450"/>
      <c r="BU80" s="450"/>
      <c r="BV80" s="450"/>
      <c r="BW80" s="450"/>
      <c r="BX80" s="450"/>
      <c r="BY80" s="450"/>
      <c r="BZ80" s="450"/>
      <c r="CA80" s="450"/>
      <c r="CB80" s="450"/>
      <c r="CC80" s="450"/>
      <c r="CD80" s="450"/>
      <c r="CE80" s="450"/>
      <c r="CF80" s="450"/>
      <c r="CG80" s="450"/>
      <c r="CH80" s="450"/>
      <c r="CI80" s="450"/>
      <c r="CJ80" s="450"/>
      <c r="CK80" s="450"/>
      <c r="CL80" s="450"/>
      <c r="CM80" s="450"/>
      <c r="CN80" s="450"/>
      <c r="CO80" s="450"/>
      <c r="CP80" s="450"/>
      <c r="CQ80" s="450"/>
      <c r="CR80" s="450"/>
      <c r="CS80" s="450"/>
      <c r="CT80" s="450"/>
      <c r="CU80" s="450"/>
      <c r="CV80" s="450"/>
      <c r="CW80" s="450"/>
      <c r="CX80" s="450"/>
      <c r="CY80" s="450"/>
      <c r="CZ80" s="450"/>
      <c r="DA80" s="450"/>
    </row>
    <row r="81" spans="1:105" customFormat="1">
      <c r="A81" s="450"/>
      <c r="B81" s="632"/>
      <c r="C81" s="509"/>
      <c r="D81" s="509"/>
      <c r="E81" s="509"/>
      <c r="F81" s="199" t="str">
        <f>F74</f>
        <v>niños de cuatro años</v>
      </c>
      <c r="G81" s="530">
        <f t="shared" si="6"/>
        <v>-816.73412190307499</v>
      </c>
      <c r="H81" s="530">
        <f t="shared" si="6"/>
        <v>-68.061176825256325</v>
      </c>
      <c r="I81" s="530">
        <f t="shared" si="6"/>
        <v>-15.706425421212998</v>
      </c>
      <c r="J81" s="638"/>
      <c r="K81" s="450"/>
      <c r="L81" s="450"/>
      <c r="M81" s="450"/>
      <c r="N81" s="450"/>
      <c r="O81" s="450"/>
      <c r="P81" s="450"/>
      <c r="Q81" s="450"/>
      <c r="R81" s="450"/>
      <c r="S81" s="450"/>
      <c r="T81" s="450"/>
      <c r="U81" s="450"/>
      <c r="V81" s="450"/>
      <c r="W81" s="450"/>
      <c r="X81" s="450"/>
      <c r="Y81" s="450"/>
      <c r="Z81" s="450"/>
      <c r="AA81" s="450"/>
      <c r="AB81" s="450"/>
      <c r="AC81" s="450"/>
      <c r="AD81" s="450"/>
      <c r="AE81" s="450"/>
      <c r="AF81" s="450"/>
      <c r="AG81" s="450"/>
      <c r="AH81" s="450"/>
      <c r="AI81" s="450"/>
      <c r="AJ81" s="450"/>
      <c r="AK81" s="450"/>
      <c r="AL81" s="450"/>
      <c r="AM81" s="450"/>
      <c r="AN81" s="450"/>
      <c r="AO81" s="450"/>
      <c r="AP81" s="450"/>
      <c r="AQ81" s="450"/>
      <c r="AR81" s="450"/>
      <c r="AS81" s="450"/>
      <c r="AT81" s="450"/>
      <c r="AU81" s="450"/>
      <c r="AV81" s="450"/>
      <c r="AW81" s="450"/>
      <c r="AX81" s="450"/>
      <c r="AY81" s="450"/>
      <c r="AZ81" s="450"/>
      <c r="BA81" s="450"/>
      <c r="BB81" s="450"/>
      <c r="BC81" s="450"/>
      <c r="BD81" s="450"/>
      <c r="BE81" s="450"/>
      <c r="BF81" s="450"/>
      <c r="BG81" s="450"/>
      <c r="BH81" s="450"/>
      <c r="BI81" s="450"/>
      <c r="BJ81" s="450"/>
      <c r="BK81" s="450"/>
      <c r="BL81" s="450"/>
      <c r="BM81" s="450"/>
      <c r="BN81" s="450"/>
      <c r="BO81" s="450"/>
      <c r="BP81" s="450"/>
      <c r="BQ81" s="450"/>
      <c r="BR81" s="450"/>
      <c r="BS81" s="450"/>
      <c r="BT81" s="450"/>
      <c r="BU81" s="450"/>
      <c r="BV81" s="450"/>
      <c r="BW81" s="450"/>
      <c r="BX81" s="450"/>
      <c r="BY81" s="450"/>
      <c r="BZ81" s="450"/>
      <c r="CA81" s="450"/>
      <c r="CB81" s="450"/>
      <c r="CC81" s="450"/>
      <c r="CD81" s="450"/>
      <c r="CE81" s="450"/>
      <c r="CF81" s="450"/>
      <c r="CG81" s="450"/>
      <c r="CH81" s="450"/>
      <c r="CI81" s="450"/>
      <c r="CJ81" s="450"/>
      <c r="CK81" s="450"/>
      <c r="CL81" s="450"/>
      <c r="CM81" s="450"/>
      <c r="CN81" s="450"/>
      <c r="CO81" s="450"/>
      <c r="CP81" s="450"/>
      <c r="CQ81" s="450"/>
      <c r="CR81" s="450"/>
      <c r="CS81" s="450"/>
      <c r="CT81" s="450"/>
      <c r="CU81" s="450"/>
      <c r="CV81" s="450"/>
      <c r="CW81" s="450"/>
      <c r="CX81" s="450"/>
      <c r="CY81" s="450"/>
      <c r="CZ81" s="450"/>
      <c r="DA81" s="450"/>
    </row>
    <row r="82" spans="1:105" customFormat="1" ht="14" thickBot="1">
      <c r="A82" s="450"/>
      <c r="B82" s="642" t="s">
        <v>522</v>
      </c>
      <c r="C82" s="641"/>
      <c r="D82" s="509"/>
      <c r="E82" s="509"/>
      <c r="F82" s="200" t="str">
        <f>F75</f>
        <v>edad escolar</v>
      </c>
      <c r="G82" s="201">
        <f t="shared" si="6"/>
        <v>-103.3059270627673</v>
      </c>
      <c r="H82" s="201">
        <f t="shared" si="6"/>
        <v>-8.608827255230608</v>
      </c>
      <c r="I82" s="201">
        <f t="shared" si="6"/>
        <v>-1.9866524435147426</v>
      </c>
      <c r="J82" s="638"/>
      <c r="K82" s="450"/>
      <c r="L82" s="450"/>
      <c r="M82" s="450"/>
      <c r="N82" s="450"/>
      <c r="O82" s="450"/>
      <c r="P82" s="450"/>
      <c r="Q82" s="450"/>
      <c r="R82" s="450"/>
      <c r="S82" s="450"/>
      <c r="T82" s="450"/>
      <c r="U82" s="450"/>
      <c r="V82" s="450"/>
      <c r="W82" s="450"/>
      <c r="X82" s="450"/>
      <c r="Y82" s="450"/>
      <c r="Z82" s="450"/>
      <c r="AA82" s="450"/>
      <c r="AB82" s="450"/>
      <c r="AC82" s="450"/>
      <c r="AD82" s="450"/>
      <c r="AE82" s="450"/>
      <c r="AF82" s="450"/>
      <c r="AG82" s="450"/>
      <c r="AH82" s="450"/>
      <c r="AI82" s="450"/>
      <c r="AJ82" s="450"/>
      <c r="AK82" s="450"/>
      <c r="AL82" s="450"/>
      <c r="AM82" s="450"/>
      <c r="AN82" s="450"/>
      <c r="AO82" s="450"/>
      <c r="AP82" s="450"/>
      <c r="AQ82" s="450"/>
      <c r="AR82" s="450"/>
      <c r="AS82" s="450"/>
      <c r="AT82" s="450"/>
      <c r="AU82" s="450"/>
      <c r="AV82" s="450"/>
      <c r="AW82" s="450"/>
      <c r="AX82" s="450"/>
      <c r="AY82" s="450"/>
      <c r="AZ82" s="450"/>
      <c r="BA82" s="450"/>
      <c r="BB82" s="450"/>
      <c r="BC82" s="450"/>
      <c r="BD82" s="450"/>
      <c r="BE82" s="450"/>
      <c r="BF82" s="450"/>
      <c r="BG82" s="450"/>
      <c r="BH82" s="450"/>
      <c r="BI82" s="450"/>
      <c r="BJ82" s="450"/>
      <c r="BK82" s="450"/>
      <c r="BL82" s="450"/>
      <c r="BM82" s="450"/>
      <c r="BN82" s="450"/>
      <c r="BO82" s="450"/>
      <c r="BP82" s="450"/>
      <c r="BQ82" s="450"/>
      <c r="BR82" s="450"/>
      <c r="BS82" s="450"/>
      <c r="BT82" s="450"/>
      <c r="BU82" s="450"/>
      <c r="BV82" s="450"/>
      <c r="BW82" s="450"/>
      <c r="BX82" s="450"/>
      <c r="BY82" s="450"/>
      <c r="BZ82" s="450"/>
      <c r="CA82" s="450"/>
      <c r="CB82" s="450"/>
      <c r="CC82" s="450"/>
      <c r="CD82" s="450"/>
      <c r="CE82" s="450"/>
      <c r="CF82" s="450"/>
      <c r="CG82" s="450"/>
      <c r="CH82" s="450"/>
      <c r="CI82" s="450"/>
      <c r="CJ82" s="450"/>
      <c r="CK82" s="450"/>
      <c r="CL82" s="450"/>
      <c r="CM82" s="450"/>
      <c r="CN82" s="450"/>
      <c r="CO82" s="450"/>
      <c r="CP82" s="450"/>
      <c r="CQ82" s="450"/>
      <c r="CR82" s="450"/>
      <c r="CS82" s="450"/>
      <c r="CT82" s="450"/>
      <c r="CU82" s="450"/>
      <c r="CV82" s="450"/>
      <c r="CW82" s="450"/>
      <c r="CX82" s="450"/>
      <c r="CY82" s="450"/>
      <c r="CZ82" s="450"/>
      <c r="DA82" s="450"/>
    </row>
    <row r="83" spans="1:105" customFormat="1" ht="14" thickBot="1">
      <c r="A83" s="450"/>
      <c r="B83" s="509"/>
      <c r="C83" s="509"/>
      <c r="D83" s="641"/>
      <c r="E83" s="641"/>
      <c r="F83" s="601"/>
      <c r="G83" s="641"/>
      <c r="H83" s="641"/>
      <c r="I83" s="613"/>
      <c r="J83" s="638"/>
      <c r="K83" s="450"/>
      <c r="L83" s="450"/>
      <c r="M83" s="450"/>
      <c r="N83" s="450"/>
      <c r="O83" s="450"/>
      <c r="P83" s="450"/>
      <c r="Q83" s="450"/>
      <c r="R83" s="450"/>
      <c r="S83" s="450"/>
      <c r="T83" s="450"/>
      <c r="U83" s="450"/>
      <c r="V83" s="450"/>
      <c r="W83" s="450"/>
      <c r="X83" s="450"/>
      <c r="Y83" s="450"/>
      <c r="Z83" s="450"/>
      <c r="AA83" s="450"/>
      <c r="AB83" s="450"/>
      <c r="AC83" s="450"/>
      <c r="AD83" s="450"/>
      <c r="AE83" s="450"/>
      <c r="AF83" s="450"/>
      <c r="AG83" s="450"/>
      <c r="AH83" s="450"/>
      <c r="AI83" s="450"/>
      <c r="AJ83" s="450"/>
      <c r="AK83" s="450"/>
      <c r="AL83" s="450"/>
      <c r="AM83" s="450"/>
      <c r="AN83" s="450"/>
      <c r="AO83" s="450"/>
      <c r="AP83" s="450"/>
      <c r="AQ83" s="450"/>
      <c r="AR83" s="450"/>
      <c r="AS83" s="450"/>
      <c r="AT83" s="450"/>
      <c r="AU83" s="450"/>
      <c r="AV83" s="450"/>
      <c r="AW83" s="450"/>
      <c r="AX83" s="450"/>
      <c r="AY83" s="450"/>
      <c r="AZ83" s="450"/>
      <c r="BA83" s="450"/>
      <c r="BB83" s="450"/>
      <c r="BC83" s="450"/>
      <c r="BD83" s="450"/>
      <c r="BE83" s="450"/>
      <c r="BF83" s="450"/>
      <c r="BG83" s="450"/>
      <c r="BH83" s="450"/>
      <c r="BI83" s="450"/>
      <c r="BJ83" s="450"/>
      <c r="BK83" s="450"/>
      <c r="BL83" s="450"/>
      <c r="BM83" s="450"/>
      <c r="BN83" s="450"/>
      <c r="BO83" s="450"/>
      <c r="BP83" s="450"/>
      <c r="BQ83" s="450"/>
      <c r="BR83" s="450"/>
      <c r="BS83" s="450"/>
      <c r="BT83" s="450"/>
      <c r="BU83" s="450"/>
      <c r="BV83" s="450"/>
      <c r="BW83" s="450"/>
      <c r="BX83" s="450"/>
      <c r="BY83" s="450"/>
      <c r="BZ83" s="450"/>
      <c r="CA83" s="450"/>
      <c r="CB83" s="450"/>
      <c r="CC83" s="450"/>
      <c r="CD83" s="450"/>
      <c r="CE83" s="450"/>
      <c r="CF83" s="450"/>
      <c r="CG83" s="450"/>
      <c r="CH83" s="450"/>
      <c r="CI83" s="450"/>
      <c r="CJ83" s="450"/>
      <c r="CK83" s="450"/>
      <c r="CL83" s="450"/>
      <c r="CM83" s="450"/>
      <c r="CN83" s="450"/>
      <c r="CO83" s="450"/>
      <c r="CP83" s="450"/>
      <c r="CQ83" s="450"/>
      <c r="CR83" s="450"/>
      <c r="CS83" s="450"/>
      <c r="CT83" s="450"/>
      <c r="CU83" s="450"/>
      <c r="CV83" s="450"/>
      <c r="CW83" s="450"/>
      <c r="CX83" s="450"/>
      <c r="CY83" s="450"/>
      <c r="CZ83" s="450"/>
      <c r="DA83" s="450"/>
    </row>
    <row r="84" spans="1:105" customFormat="1">
      <c r="A84" s="450"/>
      <c r="B84" s="509"/>
      <c r="C84" s="509"/>
      <c r="D84" s="509"/>
      <c r="E84" s="509"/>
      <c r="F84" s="509"/>
      <c r="G84" s="509"/>
      <c r="H84" s="509"/>
      <c r="I84" s="509"/>
      <c r="J84" s="638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0"/>
      <c r="AS84" s="450"/>
      <c r="AT84" s="450"/>
      <c r="AU84" s="450"/>
      <c r="AV84" s="450"/>
      <c r="AW84" s="450"/>
      <c r="AX84" s="450"/>
      <c r="AY84" s="450"/>
      <c r="AZ84" s="450"/>
      <c r="BA84" s="450"/>
      <c r="BB84" s="450"/>
      <c r="BC84" s="450"/>
      <c r="BD84" s="450"/>
      <c r="BE84" s="450"/>
      <c r="BF84" s="450"/>
      <c r="BG84" s="450"/>
      <c r="BH84" s="450"/>
      <c r="BI84" s="450"/>
      <c r="BJ84" s="450"/>
      <c r="BK84" s="450"/>
      <c r="BL84" s="450"/>
      <c r="BM84" s="450"/>
      <c r="BN84" s="450"/>
      <c r="BO84" s="450"/>
      <c r="BP84" s="450"/>
      <c r="BQ84" s="450"/>
      <c r="BR84" s="450"/>
      <c r="BS84" s="450"/>
      <c r="BT84" s="450"/>
      <c r="BU84" s="450"/>
      <c r="BV84" s="450"/>
      <c r="BW84" s="450"/>
      <c r="BX84" s="450"/>
      <c r="BY84" s="450"/>
      <c r="BZ84" s="450"/>
      <c r="CA84" s="450"/>
      <c r="CB84" s="450"/>
      <c r="CC84" s="450"/>
      <c r="CD84" s="450"/>
      <c r="CE84" s="450"/>
      <c r="CF84" s="450"/>
      <c r="CG84" s="450"/>
      <c r="CH84" s="450"/>
      <c r="CI84" s="450"/>
      <c r="CJ84" s="450"/>
      <c r="CK84" s="450"/>
      <c r="CL84" s="450"/>
      <c r="CM84" s="450"/>
      <c r="CN84" s="450"/>
      <c r="CO84" s="450"/>
      <c r="CP84" s="450"/>
      <c r="CQ84" s="450"/>
      <c r="CR84" s="450"/>
      <c r="CS84" s="450"/>
      <c r="CT84" s="450"/>
      <c r="CU84" s="450"/>
      <c r="CV84" s="450"/>
      <c r="CW84" s="450"/>
      <c r="CX84" s="450"/>
      <c r="CY84" s="450"/>
      <c r="CZ84" s="450"/>
      <c r="DA84" s="450"/>
    </row>
    <row r="85" spans="1:105">
      <c r="B85" s="509"/>
      <c r="C85" s="509"/>
      <c r="D85" s="509"/>
      <c r="E85" s="509"/>
      <c r="F85" s="509"/>
      <c r="G85" s="509"/>
      <c r="H85" s="509"/>
      <c r="I85" s="509"/>
    </row>
    <row r="86" spans="1:105" s="509" customFormat="1">
      <c r="J86" s="632"/>
    </row>
    <row r="87" spans="1:105" s="509" customFormat="1">
      <c r="J87" s="632"/>
    </row>
    <row r="88" spans="1:105" s="509" customFormat="1">
      <c r="J88" s="632"/>
    </row>
    <row r="89" spans="1:105" s="509" customFormat="1">
      <c r="J89" s="632"/>
    </row>
    <row r="90" spans="1:105" s="509" customFormat="1">
      <c r="J90" s="632"/>
    </row>
    <row r="91" spans="1:105" s="509" customFormat="1">
      <c r="J91" s="632"/>
    </row>
    <row r="92" spans="1:105" s="509" customFormat="1">
      <c r="J92" s="632"/>
    </row>
    <row r="93" spans="1:105" s="509" customFormat="1">
      <c r="J93" s="632"/>
    </row>
    <row r="94" spans="1:105" s="509" customFormat="1">
      <c r="J94" s="632"/>
    </row>
    <row r="95" spans="1:105" s="509" customFormat="1">
      <c r="J95" s="632"/>
    </row>
    <row r="96" spans="1:105" s="509" customFormat="1">
      <c r="J96" s="632"/>
    </row>
    <row r="97" spans="10:10" s="509" customFormat="1">
      <c r="J97" s="632"/>
    </row>
    <row r="98" spans="10:10" s="509" customFormat="1">
      <c r="J98" s="632"/>
    </row>
    <row r="99" spans="10:10" s="509" customFormat="1">
      <c r="J99" s="632"/>
    </row>
    <row r="100" spans="10:10" s="509" customFormat="1">
      <c r="J100" s="632"/>
    </row>
    <row r="101" spans="10:10" s="509" customFormat="1">
      <c r="J101" s="632"/>
    </row>
    <row r="102" spans="10:10" s="509" customFormat="1">
      <c r="J102" s="632"/>
    </row>
    <row r="103" spans="10:10" s="509" customFormat="1">
      <c r="J103" s="632"/>
    </row>
    <row r="104" spans="10:10" s="509" customFormat="1">
      <c r="J104" s="632"/>
    </row>
    <row r="105" spans="10:10" s="509" customFormat="1">
      <c r="J105" s="632"/>
    </row>
    <row r="106" spans="10:10" s="509" customFormat="1">
      <c r="J106" s="632"/>
    </row>
    <row r="107" spans="10:10" s="509" customFormat="1">
      <c r="J107" s="632"/>
    </row>
    <row r="108" spans="10:10" s="509" customFormat="1">
      <c r="J108" s="632"/>
    </row>
    <row r="109" spans="10:10" s="509" customFormat="1">
      <c r="J109" s="632"/>
    </row>
    <row r="110" spans="10:10" s="509" customFormat="1">
      <c r="J110" s="632"/>
    </row>
    <row r="111" spans="10:10" s="509" customFormat="1">
      <c r="J111" s="632"/>
    </row>
    <row r="112" spans="10:10" s="509" customFormat="1">
      <c r="J112" s="632"/>
    </row>
    <row r="113" spans="10:10" s="509" customFormat="1">
      <c r="J113" s="632"/>
    </row>
    <row r="114" spans="10:10" s="509" customFormat="1">
      <c r="J114" s="632"/>
    </row>
    <row r="115" spans="10:10" s="509" customFormat="1">
      <c r="J115" s="632"/>
    </row>
    <row r="116" spans="10:10" s="509" customFormat="1">
      <c r="J116" s="632"/>
    </row>
    <row r="117" spans="10:10" s="509" customFormat="1">
      <c r="J117" s="632"/>
    </row>
    <row r="118" spans="10:10" s="509" customFormat="1">
      <c r="J118" s="632"/>
    </row>
    <row r="119" spans="10:10" s="509" customFormat="1">
      <c r="J119" s="632"/>
    </row>
    <row r="120" spans="10:10" s="509" customFormat="1">
      <c r="J120" s="632"/>
    </row>
    <row r="121" spans="10:10" s="509" customFormat="1">
      <c r="J121" s="632"/>
    </row>
    <row r="122" spans="10:10" s="509" customFormat="1">
      <c r="J122" s="632"/>
    </row>
    <row r="123" spans="10:10" s="509" customFormat="1">
      <c r="J123" s="632"/>
    </row>
    <row r="124" spans="10:10" s="509" customFormat="1">
      <c r="J124" s="632"/>
    </row>
    <row r="125" spans="10:10" s="509" customFormat="1">
      <c r="J125" s="632"/>
    </row>
    <row r="126" spans="10:10" s="509" customFormat="1">
      <c r="J126" s="632"/>
    </row>
    <row r="127" spans="10:10" s="509" customFormat="1">
      <c r="J127" s="632"/>
    </row>
    <row r="128" spans="10:10" s="509" customFormat="1">
      <c r="J128" s="632"/>
    </row>
    <row r="129" spans="10:10" s="509" customFormat="1">
      <c r="J129" s="632"/>
    </row>
    <row r="130" spans="10:10" s="509" customFormat="1">
      <c r="J130" s="632"/>
    </row>
    <row r="131" spans="10:10" s="509" customFormat="1">
      <c r="J131" s="632"/>
    </row>
    <row r="132" spans="10:10" s="509" customFormat="1">
      <c r="J132" s="632"/>
    </row>
    <row r="133" spans="10:10" s="509" customFormat="1">
      <c r="J133" s="632"/>
    </row>
    <row r="134" spans="10:10" s="509" customFormat="1">
      <c r="J134" s="632"/>
    </row>
    <row r="135" spans="10:10" s="509" customFormat="1">
      <c r="J135" s="632"/>
    </row>
    <row r="136" spans="10:10" s="509" customFormat="1">
      <c r="J136" s="632"/>
    </row>
    <row r="137" spans="10:10" s="509" customFormat="1">
      <c r="J137" s="632"/>
    </row>
    <row r="138" spans="10:10" s="509" customFormat="1">
      <c r="J138" s="632"/>
    </row>
    <row r="139" spans="10:10" s="509" customFormat="1">
      <c r="J139" s="632"/>
    </row>
    <row r="140" spans="10:10" s="509" customFormat="1">
      <c r="J140" s="632"/>
    </row>
    <row r="141" spans="10:10" s="509" customFormat="1">
      <c r="J141" s="632"/>
    </row>
    <row r="142" spans="10:10" s="509" customFormat="1">
      <c r="J142" s="632"/>
    </row>
    <row r="143" spans="10:10" s="509" customFormat="1">
      <c r="J143" s="632"/>
    </row>
    <row r="144" spans="10:10" s="509" customFormat="1">
      <c r="J144" s="632"/>
    </row>
    <row r="145" spans="10:10" s="509" customFormat="1">
      <c r="J145" s="632"/>
    </row>
    <row r="146" spans="10:10" s="509" customFormat="1">
      <c r="J146" s="632"/>
    </row>
    <row r="147" spans="10:10" s="509" customFormat="1">
      <c r="J147" s="632"/>
    </row>
    <row r="148" spans="10:10" s="509" customFormat="1">
      <c r="J148" s="632"/>
    </row>
    <row r="149" spans="10:10" s="509" customFormat="1">
      <c r="J149" s="632"/>
    </row>
    <row r="150" spans="10:10" s="509" customFormat="1">
      <c r="J150" s="632"/>
    </row>
    <row r="151" spans="10:10" s="509" customFormat="1">
      <c r="J151" s="632"/>
    </row>
    <row r="152" spans="10:10" s="509" customFormat="1">
      <c r="J152" s="632"/>
    </row>
    <row r="153" spans="10:10" s="509" customFormat="1">
      <c r="J153" s="632"/>
    </row>
    <row r="154" spans="10:10" s="509" customFormat="1">
      <c r="J154" s="632"/>
    </row>
    <row r="155" spans="10:10" s="509" customFormat="1">
      <c r="J155" s="632"/>
    </row>
    <row r="156" spans="10:10" s="509" customFormat="1">
      <c r="J156" s="632"/>
    </row>
    <row r="157" spans="10:10" s="509" customFormat="1">
      <c r="J157" s="632"/>
    </row>
    <row r="158" spans="10:10" s="509" customFormat="1">
      <c r="J158" s="632"/>
    </row>
    <row r="159" spans="10:10" s="509" customFormat="1">
      <c r="J159" s="632"/>
    </row>
    <row r="160" spans="10:10" s="509" customFormat="1">
      <c r="J160" s="632"/>
    </row>
    <row r="161" spans="2:10" s="509" customFormat="1">
      <c r="J161" s="632"/>
    </row>
    <row r="162" spans="2:10" s="509" customFormat="1">
      <c r="J162" s="632"/>
    </row>
    <row r="163" spans="2:10" s="509" customFormat="1">
      <c r="J163" s="632"/>
    </row>
    <row r="164" spans="2:10" s="509" customFormat="1">
      <c r="B164" s="115"/>
      <c r="C164" s="115"/>
      <c r="J164" s="632"/>
    </row>
    <row r="165" spans="2:10" s="509" customFormat="1">
      <c r="B165" s="115"/>
      <c r="C165" s="115"/>
      <c r="D165" s="115"/>
      <c r="E165" s="115"/>
      <c r="F165" s="115"/>
      <c r="G165" s="115"/>
      <c r="H165" s="115"/>
      <c r="I165" s="115"/>
      <c r="J165" s="632"/>
    </row>
    <row r="166" spans="2:10" s="509" customFormat="1">
      <c r="B166" s="115"/>
      <c r="C166" s="115"/>
      <c r="D166" s="115"/>
      <c r="E166" s="115"/>
      <c r="F166" s="115"/>
      <c r="G166" s="115"/>
      <c r="H166" s="115"/>
      <c r="I166" s="115"/>
      <c r="J166" s="632"/>
    </row>
  </sheetData>
  <sheetProtection algorithmName="SHA-512" hashValue="6kBRUix6wTOdgpaWQkS99ej04x90Cvjnc1DhtIk5mYRQMe+l+rkfZAa23+SjZtkQOcY6ZaSvCFlFeYPwj/OidQ==" saltValue="TSVTnNwdKkRSxz5Ln9o7VQ==" spinCount="100000" sheet="1" selectLockedCells="1"/>
  <conditionalFormatting sqref="C72:C74">
    <cfRule type="cellIs" dxfId="2" priority="1" operator="lessThan">
      <formula>0</formula>
    </cfRule>
  </conditionalFormatting>
  <dataValidations count="9">
    <dataValidation type="list" allowBlank="1" showInputMessage="1" showErrorMessage="1" sqref="D25" xr:uid="{1A025EB9-A64F-8B4C-8152-8A73B6FA5B92}">
      <formula1>#REF!</formula1>
    </dataValidation>
    <dataValidation allowBlank="1" showInputMessage="1" showErrorMessage="1" promptTitle="Enter number of days " prompt="Enter number of days paid leave offered to staff per year (not including holidays where program is closed)" sqref="D29" xr:uid="{FC7E9E1A-3DEE-1046-A3DE-55850F448199}"/>
    <dataValidation allowBlank="1" showDropDown="1" showInputMessage="1" showErrorMessage="1" sqref="D24" xr:uid="{37D7946A-64BD-514E-BDFC-2F045BA05D67}"/>
    <dataValidation type="list" allowBlank="1" showInputMessage="1" showErrorMessage="1" sqref="D27" xr:uid="{88EA5AC0-A86D-004D-BD8B-9BE72EAEB206}">
      <formula1>$C$22:$D$22</formula1>
    </dataValidation>
    <dataValidation type="whole" allowBlank="1" showInputMessage="1" showErrorMessage="1" errorTitle="Enter a whole number" promptTitle="Enter number of days" prompt="Enter number of days of paid sick leave per year per staff member_x000a_" sqref="D28" xr:uid="{21AC3C1A-B286-814F-9BAC-349D71DC1E45}">
      <formula1>0</formula1>
      <formula2>100</formula2>
    </dataValidation>
    <dataValidation type="list" allowBlank="1" showInputMessage="1" showErrorMessage="1" sqref="C16" xr:uid="{4EDBC2F7-58FD-034A-AF22-2345B9085A3D}">
      <formula1>$E$16:$G$16</formula1>
    </dataValidation>
    <dataValidation type="list" allowBlank="1" showInputMessage="1" showErrorMessage="1" sqref="C15" xr:uid="{4AEC1664-62D5-5742-A4B3-DB6FE5B0767E}">
      <formula1>$E$15:$F$15</formula1>
    </dataValidation>
    <dataValidation type="list" allowBlank="1" showInputMessage="1" showErrorMessage="1" sqref="F3" xr:uid="{8890BE5F-FEBB-F141-BB42-214360F87299}">
      <formula1>$H$3:$I$3</formula1>
    </dataValidation>
    <dataValidation type="list" allowBlank="1" showInputMessage="1" showErrorMessage="1" sqref="F2" xr:uid="{656B74DB-9BD9-914C-AB41-6C97658BA5E0}">
      <formula1>$G$2:$J$2</formula1>
    </dataValidation>
  </dataValidations>
  <pageMargins left="0.25" right="0.25" top="0.25" bottom="0.25" header="0.05" footer="0.05"/>
  <pageSetup scale="75" orientation="landscape" horizontalDpi="4294967293" r:id="rId1"/>
  <headerFooter alignWithMargins="0">
    <oddFooter>&amp;CDRAFT - Not for Distribution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DB270-2FDF-184D-8D08-69BB0386F7F9}">
  <sheetPr codeName="Sheet4">
    <tabColor theme="6" tint="-0.499984740745262"/>
    <pageSetUpPr fitToPage="1"/>
  </sheetPr>
  <dimension ref="A1:W69"/>
  <sheetViews>
    <sheetView topLeftCell="A32" workbookViewId="0">
      <selection activeCell="D67" sqref="D67"/>
    </sheetView>
  </sheetViews>
  <sheetFormatPr baseColWidth="10" defaultColWidth="9.1640625" defaultRowHeight="13"/>
  <cols>
    <col min="1" max="1" width="9.33203125" style="115" customWidth="1"/>
    <col min="2" max="2" width="44.33203125" style="115" customWidth="1"/>
    <col min="3" max="3" width="15.83203125" style="115" customWidth="1"/>
    <col min="4" max="4" width="14" style="115" customWidth="1"/>
    <col min="5" max="5" width="14.33203125" style="115" customWidth="1"/>
    <col min="6" max="6" width="11.33203125" style="115" customWidth="1"/>
    <col min="7" max="7" width="12.83203125" style="115" customWidth="1"/>
    <col min="8" max="8" width="17.6640625" style="115" customWidth="1"/>
    <col min="9" max="9" width="10.83203125" style="115" customWidth="1"/>
    <col min="10" max="10" width="10.1640625" style="115" bestFit="1" customWidth="1"/>
    <col min="11" max="11" width="9.83203125" style="115" customWidth="1"/>
    <col min="12" max="13" width="12.1640625" style="115" customWidth="1"/>
    <col min="14" max="14" width="10.5" style="115" customWidth="1"/>
    <col min="15" max="15" width="13.5" style="115" customWidth="1"/>
    <col min="16" max="16" width="22.33203125" style="115" customWidth="1"/>
    <col min="17" max="17" width="12.83203125" style="115" customWidth="1"/>
    <col min="18" max="18" width="2.5" style="115" customWidth="1"/>
    <col min="19" max="19" width="9.1640625" style="115"/>
    <col min="20" max="20" width="10.5" style="115" customWidth="1"/>
    <col min="21" max="21" width="10.83203125" style="115" bestFit="1" customWidth="1"/>
    <col min="22" max="16384" width="9.1640625" style="115"/>
  </cols>
  <sheetData>
    <row r="1" spans="1:23">
      <c r="A1" s="120" t="s">
        <v>179</v>
      </c>
      <c r="B1" s="124"/>
      <c r="C1" s="124"/>
      <c r="D1" s="120" t="str">
        <f>IF('VariablesINPUT-FCC'!F2='VariablesINPUT-FCC'!G2,"Licensing/Star 2",IF('VariablesINPUT-FCC'!F2='VariablesINPUT-FCC'!H2,"Star 2+/3",IF('VariablesINPUT-FCC'!F2='VariablesINPUT-FCC'!I2,"Star 4",IF('VariablesINPUT-FCC'!F2='VariablesINPUT-FCC'!J2,"Star 5",0))))</f>
        <v>Star 5</v>
      </c>
      <c r="E1" s="120"/>
    </row>
    <row r="2" spans="1:23" ht="28">
      <c r="A2" s="118"/>
      <c r="B2" s="125" t="s">
        <v>75</v>
      </c>
      <c r="C2" s="118"/>
      <c r="D2" s="126"/>
      <c r="E2" s="115" t="s">
        <v>76</v>
      </c>
      <c r="S2" s="127"/>
    </row>
    <row r="3" spans="1:23" ht="14">
      <c r="A3" s="118"/>
      <c r="B3" s="125" t="s">
        <v>77</v>
      </c>
      <c r="C3" s="118"/>
      <c r="D3" s="128"/>
      <c r="E3" s="115" t="s">
        <v>78</v>
      </c>
    </row>
    <row r="4" spans="1:23">
      <c r="A4" s="116"/>
      <c r="B4" s="129"/>
      <c r="C4" s="130"/>
      <c r="D4" s="130"/>
      <c r="E4" s="130"/>
      <c r="F4" s="130"/>
      <c r="G4" s="130"/>
    </row>
    <row r="5" spans="1:23" ht="15">
      <c r="B5" s="131"/>
      <c r="C5" s="132" t="s">
        <v>180</v>
      </c>
      <c r="D5" s="115" t="s">
        <v>181</v>
      </c>
      <c r="E5" s="133"/>
      <c r="F5" s="233" t="s">
        <v>182</v>
      </c>
      <c r="G5" s="115" t="s">
        <v>104</v>
      </c>
      <c r="H5" s="235" t="s">
        <v>183</v>
      </c>
      <c r="I5" s="237" t="s">
        <v>184</v>
      </c>
      <c r="J5" s="235" t="s">
        <v>185</v>
      </c>
      <c r="K5" s="235" t="s">
        <v>186</v>
      </c>
      <c r="L5" s="336" t="s">
        <v>187</v>
      </c>
      <c r="M5" s="336" t="s">
        <v>21</v>
      </c>
      <c r="N5" s="118" t="s">
        <v>99</v>
      </c>
      <c r="O5" s="118"/>
      <c r="Q5" s="134"/>
      <c r="R5" s="118"/>
      <c r="S5" s="118"/>
    </row>
    <row r="6" spans="1:23" ht="15">
      <c r="A6" s="128">
        <f>'VariablesINPUT-FCC'!C7</f>
        <v>2</v>
      </c>
      <c r="B6" s="119" t="s">
        <v>13</v>
      </c>
      <c r="C6" s="135">
        <f>IF(A6&gt;0,G6,0)</f>
        <v>15845.950668712983</v>
      </c>
      <c r="D6" s="155">
        <f>C6*A6</f>
        <v>31691.901337425967</v>
      </c>
      <c r="E6" s="339">
        <f>C6/12</f>
        <v>1320.4958890594153</v>
      </c>
      <c r="F6" s="234">
        <f>$D$49/A$11</f>
        <v>14672.176545104614</v>
      </c>
      <c r="G6" s="333">
        <f>IF(A6&gt;0,N6/A6,0)</f>
        <v>15845.950668712983</v>
      </c>
      <c r="H6" s="337">
        <f>SUM(I6:M6)</f>
        <v>29344.353090209228</v>
      </c>
      <c r="I6" s="344">
        <f>SUM(D20/A$11*A6)</f>
        <v>17367.095999999998</v>
      </c>
      <c r="J6" s="337">
        <f>SUM($D$27/$A$11)*A6</f>
        <v>1762.7602439999998</v>
      </c>
      <c r="K6" s="337">
        <f>SUM(D$33/$A$11)*A6</f>
        <v>3165.3397435897436</v>
      </c>
      <c r="L6" s="337">
        <f>D$46*A6</f>
        <v>7049.157102619487</v>
      </c>
      <c r="M6" s="337">
        <f>SUM(D$48/A$11)*A6</f>
        <v>0</v>
      </c>
      <c r="N6" s="376">
        <f>SUM(H6,O$13*A6)</f>
        <v>31691.901337425967</v>
      </c>
      <c r="P6" s="134"/>
    </row>
    <row r="7" spans="1:23" ht="15">
      <c r="A7" s="128">
        <f>'VariablesINPUT-FCC'!C8</f>
        <v>1</v>
      </c>
      <c r="B7" s="119" t="s">
        <v>188</v>
      </c>
      <c r="C7" s="135">
        <f>IF(A7&gt;0,G7,0)</f>
        <v>15845.950668712983</v>
      </c>
      <c r="D7" s="155">
        <f>C7*A7</f>
        <v>15845.950668712983</v>
      </c>
      <c r="E7" s="339">
        <f t="shared" ref="E7:E10" si="0">C7/12</f>
        <v>1320.4958890594153</v>
      </c>
      <c r="F7" s="234">
        <f>$D$49/A$11</f>
        <v>14672.176545104614</v>
      </c>
      <c r="G7" s="333">
        <f>IF(A7&gt;0,N7/A7,0)</f>
        <v>15845.950668712983</v>
      </c>
      <c r="H7" s="337">
        <f t="shared" ref="H7:H10" si="1">SUM(I7:M7)</f>
        <v>14672.176545104614</v>
      </c>
      <c r="I7" s="344">
        <f>SUM(D$20/A$11*A7)</f>
        <v>8683.5479999999989</v>
      </c>
      <c r="J7" s="337">
        <f>SUM($D$27/$A$11)*A7</f>
        <v>881.38012199999991</v>
      </c>
      <c r="K7" s="337">
        <f>SUM(D$33/$A$11)*A7</f>
        <v>1582.6698717948718</v>
      </c>
      <c r="L7" s="337">
        <f>D$46*A7</f>
        <v>3524.5785513097435</v>
      </c>
      <c r="M7" s="337">
        <f t="shared" ref="M7:M10" si="2">SUM(D$48/A$11)*A7</f>
        <v>0</v>
      </c>
      <c r="N7" s="376">
        <f>SUM(H7,O$13*A7)</f>
        <v>15845.950668712983</v>
      </c>
      <c r="P7" s="138"/>
      <c r="Q7" s="138"/>
      <c r="R7" s="139"/>
      <c r="S7" s="123"/>
      <c r="U7" s="123"/>
    </row>
    <row r="8" spans="1:23" ht="15">
      <c r="A8" s="128">
        <f>'VariablesINPUT-FCC'!C9</f>
        <v>1</v>
      </c>
      <c r="B8" s="119" t="s">
        <v>189</v>
      </c>
      <c r="C8" s="135">
        <f>IF(A8&gt;0,G8,0)</f>
        <v>15845.950668712983</v>
      </c>
      <c r="D8" s="155">
        <f>C8*A8</f>
        <v>15845.950668712983</v>
      </c>
      <c r="E8" s="339">
        <f t="shared" si="0"/>
        <v>1320.4958890594153</v>
      </c>
      <c r="F8" s="234">
        <f>$D$49/A$11</f>
        <v>14672.176545104614</v>
      </c>
      <c r="G8" s="333">
        <f>IF(A8&gt;0,N8/A8,0)</f>
        <v>15845.950668712983</v>
      </c>
      <c r="H8" s="337">
        <f t="shared" si="1"/>
        <v>14672.176545104614</v>
      </c>
      <c r="I8" s="344">
        <f>SUM(D$20/A$11*A8)</f>
        <v>8683.5479999999989</v>
      </c>
      <c r="J8" s="337">
        <f>SUM($D$27/$A$11)*A8</f>
        <v>881.38012199999991</v>
      </c>
      <c r="K8" s="337">
        <f>SUM(D$33/$A$11)*A8</f>
        <v>1582.6698717948718</v>
      </c>
      <c r="L8" s="337">
        <f>D$46*A8</f>
        <v>3524.5785513097435</v>
      </c>
      <c r="M8" s="337">
        <f t="shared" si="2"/>
        <v>0</v>
      </c>
      <c r="N8" s="376">
        <f>SUM(H8,O$13*A8)</f>
        <v>15845.950668712983</v>
      </c>
      <c r="P8" s="138"/>
      <c r="Q8" s="138"/>
      <c r="R8" s="139"/>
      <c r="S8" s="123"/>
      <c r="W8" s="123"/>
    </row>
    <row r="9" spans="1:23" ht="15">
      <c r="A9" s="128">
        <f>'VariablesINPUT-FCC'!C10</f>
        <v>1</v>
      </c>
      <c r="B9" s="119" t="s">
        <v>190</v>
      </c>
      <c r="C9" s="135">
        <f>IF(A9&gt;0,G9,0)</f>
        <v>15845.950668712983</v>
      </c>
      <c r="D9" s="155">
        <f>C9*A9</f>
        <v>15845.950668712983</v>
      </c>
      <c r="E9" s="339">
        <f t="shared" si="0"/>
        <v>1320.4958890594153</v>
      </c>
      <c r="F9" s="234">
        <f>$D$49/A$11</f>
        <v>14672.176545104614</v>
      </c>
      <c r="G9" s="333">
        <f>IF(A9&gt;0,N9/A9,0)</f>
        <v>15845.950668712983</v>
      </c>
      <c r="H9" s="337">
        <f t="shared" si="1"/>
        <v>14672.176545104614</v>
      </c>
      <c r="I9" s="344">
        <f>SUM(D$20/A$11*A9)</f>
        <v>8683.5479999999989</v>
      </c>
      <c r="J9" s="337">
        <f>SUM($D$27/$A$11)*A9</f>
        <v>881.38012199999991</v>
      </c>
      <c r="K9" s="337">
        <f>SUM(D$33/$A$11)*A9</f>
        <v>1582.6698717948718</v>
      </c>
      <c r="L9" s="337">
        <f>D$46*A9</f>
        <v>3524.5785513097435</v>
      </c>
      <c r="M9" s="337">
        <f t="shared" si="2"/>
        <v>0</v>
      </c>
      <c r="N9" s="376">
        <f>SUM(H9,O$13*A9)</f>
        <v>15845.950668712983</v>
      </c>
      <c r="P9" s="138"/>
      <c r="Q9" s="138"/>
      <c r="R9" s="139"/>
      <c r="S9" s="123"/>
    </row>
    <row r="10" spans="1:23" ht="15">
      <c r="A10" s="128">
        <f>'VariablesINPUT-FCC'!C11</f>
        <v>1</v>
      </c>
      <c r="B10" s="119" t="s">
        <v>17</v>
      </c>
      <c r="C10" s="135">
        <f>IF(A10&gt;0,G10,0)</f>
        <v>8803.3059270627673</v>
      </c>
      <c r="D10" s="155">
        <f>C10*A10</f>
        <v>8803.3059270627673</v>
      </c>
      <c r="E10" s="339">
        <f t="shared" si="0"/>
        <v>733.60882725523061</v>
      </c>
      <c r="F10" s="236">
        <f>$D$49/A$11</f>
        <v>14672.176545104614</v>
      </c>
      <c r="G10" s="333">
        <f>IF(A10&gt;0,N10/A10,0)</f>
        <v>8803.3059270627673</v>
      </c>
      <c r="H10" s="337">
        <f t="shared" si="1"/>
        <v>14672.176545104614</v>
      </c>
      <c r="I10" s="344">
        <f>SUM(E$20/A$11*A10)</f>
        <v>8683.5479999999989</v>
      </c>
      <c r="J10" s="337">
        <f>SUM($D$27/$A$11)*A10</f>
        <v>881.38012199999991</v>
      </c>
      <c r="K10" s="337">
        <f>SUM(D$33/$A$11)*A10</f>
        <v>1582.6698717948718</v>
      </c>
      <c r="L10" s="337">
        <f>D$46*A10</f>
        <v>3524.5785513097435</v>
      </c>
      <c r="M10" s="337">
        <f t="shared" si="2"/>
        <v>0</v>
      </c>
      <c r="N10" s="183">
        <f>H10*60%</f>
        <v>8803.3059270627673</v>
      </c>
      <c r="P10" s="138"/>
      <c r="Q10" s="138"/>
      <c r="R10" s="139"/>
      <c r="S10" s="123"/>
    </row>
    <row r="11" spans="1:23" ht="15">
      <c r="A11" s="153">
        <f>SUM(A6:A10)</f>
        <v>6</v>
      </c>
      <c r="B11" s="140" t="s">
        <v>191</v>
      </c>
      <c r="C11" s="141"/>
      <c r="D11" s="291">
        <f>SUM(D6:D10)</f>
        <v>88033.059270627695</v>
      </c>
      <c r="E11" s="142" t="str">
        <f>IF(F13=0,"Correct", "Error" )</f>
        <v>Correct</v>
      </c>
      <c r="F11" s="292">
        <f>D11</f>
        <v>88033.059270627695</v>
      </c>
      <c r="G11" s="133"/>
      <c r="H11" s="338">
        <f t="shared" ref="H11:M11" si="3">SUM(H6:H10)</f>
        <v>88033.05927062768</v>
      </c>
      <c r="I11" s="338">
        <f>SUM(I6:I10)</f>
        <v>52101.287999999986</v>
      </c>
      <c r="J11" s="338">
        <f>SUM(J6:J10)</f>
        <v>5288.2807319999993</v>
      </c>
      <c r="K11" s="338">
        <f>SUM(K6:K10)</f>
        <v>9496.0192307692305</v>
      </c>
      <c r="L11" s="338">
        <f t="shared" si="3"/>
        <v>21147.471307858461</v>
      </c>
      <c r="M11" s="338">
        <f t="shared" si="3"/>
        <v>0</v>
      </c>
      <c r="N11" s="338">
        <f>SUM(N6:N10)</f>
        <v>88033.059270627695</v>
      </c>
      <c r="P11" s="138"/>
      <c r="Q11" s="138"/>
      <c r="R11" s="139"/>
      <c r="S11" s="123"/>
    </row>
    <row r="12" spans="1:23">
      <c r="A12" s="358">
        <f>SUM(A6:A9)</f>
        <v>5</v>
      </c>
      <c r="B12" s="119"/>
      <c r="D12" s="136">
        <f>D11-D49</f>
        <v>0</v>
      </c>
      <c r="F12" s="293">
        <f>D49</f>
        <v>88033.05927062768</v>
      </c>
      <c r="I12" s="375"/>
      <c r="K12" s="137"/>
      <c r="L12" s="137"/>
      <c r="M12" s="137"/>
      <c r="N12" s="137"/>
      <c r="O12" s="374">
        <f>H10-N10</f>
        <v>5868.8706180418467</v>
      </c>
      <c r="Q12" s="138"/>
      <c r="R12" s="138"/>
      <c r="S12" s="139"/>
      <c r="T12" s="123"/>
    </row>
    <row r="13" spans="1:23" ht="17">
      <c r="A13" s="314">
        <f>SUM(A6:A7)</f>
        <v>3</v>
      </c>
      <c r="B13" s="143" t="s">
        <v>192</v>
      </c>
      <c r="C13" s="144"/>
      <c r="F13" s="293">
        <f>F11-F12</f>
        <v>0</v>
      </c>
      <c r="I13" s="374"/>
      <c r="J13" s="183"/>
      <c r="K13" s="137"/>
      <c r="L13" s="137"/>
      <c r="M13" s="137"/>
      <c r="N13" s="137"/>
      <c r="O13" s="374">
        <f>O12/SUM(A6:A9)</f>
        <v>1173.7741236083693</v>
      </c>
      <c r="Q13" s="138"/>
      <c r="R13" s="138"/>
      <c r="S13" s="139"/>
      <c r="T13" s="123"/>
      <c r="U13" s="138"/>
    </row>
    <row r="14" spans="1:23" ht="18" thickBot="1">
      <c r="B14" s="145" t="s">
        <v>193</v>
      </c>
      <c r="C14" s="146"/>
      <c r="D14" s="147"/>
      <c r="E14" s="147"/>
      <c r="F14" s="147"/>
      <c r="G14" s="146"/>
      <c r="H14" s="19" t="s">
        <v>105</v>
      </c>
      <c r="L14"/>
      <c r="M14" s="435">
        <v>0</v>
      </c>
      <c r="N14" s="29" t="s">
        <v>423</v>
      </c>
      <c r="O14" s="332"/>
      <c r="P14" s="332"/>
      <c r="Q14" s="138"/>
      <c r="S14" s="139"/>
      <c r="T14" s="123"/>
      <c r="U14" s="138"/>
    </row>
    <row r="15" spans="1:23" ht="16">
      <c r="B15" s="148"/>
      <c r="C15" s="115" t="s">
        <v>72</v>
      </c>
      <c r="D15" s="115" t="s">
        <v>97</v>
      </c>
      <c r="E15" s="149" t="s">
        <v>194</v>
      </c>
      <c r="F15" s="115" t="s">
        <v>195</v>
      </c>
      <c r="H15" s="75" t="s">
        <v>2</v>
      </c>
      <c r="I15" s="300" t="s">
        <v>1</v>
      </c>
      <c r="J15" s="300" t="s">
        <v>3</v>
      </c>
      <c r="K15" s="300" t="s">
        <v>4</v>
      </c>
      <c r="L15" s="203"/>
      <c r="M15" s="29" t="s">
        <v>2</v>
      </c>
      <c r="N15" s="300" t="s">
        <v>1</v>
      </c>
      <c r="O15" s="301" t="s">
        <v>3</v>
      </c>
      <c r="P15" s="300" t="s">
        <v>4</v>
      </c>
      <c r="Q15" s="123"/>
      <c r="R15" s="138"/>
    </row>
    <row r="16" spans="1:23" ht="14">
      <c r="A16" s="185">
        <v>1</v>
      </c>
      <c r="B16" s="119" t="s">
        <v>196</v>
      </c>
      <c r="C16" s="289">
        <f>IF(D$1="Licensing/Star 2",H16+M16,IF(D$1="Star 2+/3",I16+N16,IF(D$1="Star 4",J16+O16,K16+P16)))</f>
        <v>51768.287999999993</v>
      </c>
      <c r="D16" s="341">
        <f>SUM(E16:G16)</f>
        <v>51768.287999999993</v>
      </c>
      <c r="E16" s="150">
        <f>C16*A16</f>
        <v>51768.287999999993</v>
      </c>
      <c r="H16" s="363">
        <f>Wages!B38</f>
        <v>43140.24</v>
      </c>
      <c r="I16" s="363">
        <f>Wages!C38</f>
        <v>43140.24</v>
      </c>
      <c r="J16" s="363">
        <f>Wages!D38</f>
        <v>47454.264000000003</v>
      </c>
      <c r="K16" s="363">
        <f>Wages!E38</f>
        <v>51768.287999999993</v>
      </c>
      <c r="L16" s="38"/>
      <c r="M16" s="362">
        <f>SUM($M$14*H16)</f>
        <v>0</v>
      </c>
      <c r="N16" s="362">
        <f t="shared" ref="N16:P17" si="4">SUM($M$14*I16)</f>
        <v>0</v>
      </c>
      <c r="O16" s="362">
        <f t="shared" si="4"/>
        <v>0</v>
      </c>
      <c r="P16" s="362">
        <f t="shared" si="4"/>
        <v>0</v>
      </c>
      <c r="Q16" s="123"/>
      <c r="R16" s="138"/>
    </row>
    <row r="17" spans="1:18" ht="14">
      <c r="A17" s="184">
        <f>IF(A11&gt;6,1,0)</f>
        <v>0</v>
      </c>
      <c r="B17" s="119" t="s">
        <v>197</v>
      </c>
      <c r="C17" s="289">
        <f>IF(D$1="Licensing/Star 2",H17+M17,IF(D$1="Star 2+/3",I17+N17,IF(D$1="Star 4",J17+O17,K17+P17)))</f>
        <v>37440</v>
      </c>
      <c r="D17" s="341">
        <f>SUM(E17:G17)</f>
        <v>0</v>
      </c>
      <c r="E17" s="150">
        <f>C17*A17</f>
        <v>0</v>
      </c>
      <c r="G17" s="150"/>
      <c r="H17" s="363">
        <f>Wages!B39</f>
        <v>31200</v>
      </c>
      <c r="I17" s="363">
        <f>Wages!C39</f>
        <v>31200</v>
      </c>
      <c r="J17" s="363">
        <f>Wages!D39</f>
        <v>34320</v>
      </c>
      <c r="K17" s="363">
        <f>Wages!E39</f>
        <v>37440</v>
      </c>
      <c r="L17" s="38"/>
      <c r="M17" s="362">
        <f>SUM($M$14*H17)</f>
        <v>0</v>
      </c>
      <c r="N17" s="362">
        <f t="shared" si="4"/>
        <v>0</v>
      </c>
      <c r="O17" s="362">
        <f t="shared" si="4"/>
        <v>0</v>
      </c>
      <c r="P17" s="362">
        <f t="shared" si="4"/>
        <v>0</v>
      </c>
      <c r="Q17" s="123"/>
      <c r="R17" s="138"/>
    </row>
    <row r="18" spans="1:18" ht="14">
      <c r="A18" s="184">
        <f>IF(A11&lt;7,IF(A6&gt;2,1,0),0)</f>
        <v>0</v>
      </c>
      <c r="B18" s="119" t="s">
        <v>198</v>
      </c>
      <c r="C18" s="289">
        <f>C17</f>
        <v>37440</v>
      </c>
      <c r="D18" s="341">
        <f>SUM(F18:G18)</f>
        <v>0</v>
      </c>
      <c r="F18" s="150">
        <f>C18*A18</f>
        <v>0</v>
      </c>
      <c r="H18" s="38"/>
      <c r="I18"/>
      <c r="L18" s="123"/>
      <c r="M18" s="362"/>
      <c r="N18" s="362"/>
      <c r="O18" s="362"/>
      <c r="P18" s="362"/>
    </row>
    <row r="19" spans="1:18" ht="15">
      <c r="A19" s="383">
        <f>IF(D1="Licensing/Star 2",(12*A20),IF(D1="Star 2+/3",(2+((12+2.5)*A20)),IF(D1="Star 4",(3+(12+2.5)*A20),IF(D1="Star 5",(4+(12+2.5)*A20),0))))/2080</f>
        <v>8.8942307692307689E-3</v>
      </c>
      <c r="B19" s="119" t="s">
        <v>199</v>
      </c>
      <c r="C19" s="289">
        <f>C17</f>
        <v>37440</v>
      </c>
      <c r="D19" s="341">
        <f>SUM(E19:F19)</f>
        <v>333</v>
      </c>
      <c r="E19" s="150">
        <f>(C19*A19)</f>
        <v>333</v>
      </c>
      <c r="F19" s="151"/>
      <c r="G19" s="382"/>
      <c r="H19" s="386"/>
      <c r="I19" s="238"/>
      <c r="J19" s="133"/>
      <c r="K19" s="139"/>
      <c r="L19" s="136"/>
      <c r="M19" s="70"/>
      <c r="N19" s="219"/>
      <c r="O19" s="217"/>
      <c r="P19" s="220"/>
      <c r="Q19"/>
    </row>
    <row r="20" spans="1:18">
      <c r="A20" s="152">
        <f>SUM(A16:A18)</f>
        <v>1</v>
      </c>
      <c r="B20" s="117" t="s">
        <v>200</v>
      </c>
      <c r="D20" s="154">
        <f>SUM(E20:F20)</f>
        <v>52101.287999999993</v>
      </c>
      <c r="E20" s="154">
        <f>SUM(E16:E19)</f>
        <v>52101.287999999993</v>
      </c>
      <c r="F20" s="154">
        <f>SUM(F16:F19)</f>
        <v>0</v>
      </c>
      <c r="G20" s="154"/>
      <c r="H20" s="357">
        <f>D20/6</f>
        <v>8683.5479999999989</v>
      </c>
      <c r="I20" s="357"/>
      <c r="J20" s="183"/>
      <c r="K20" s="357"/>
      <c r="L20" s="136"/>
      <c r="M20" s="11"/>
      <c r="N20" s="219"/>
      <c r="O20" s="218"/>
      <c r="P20" s="220"/>
      <c r="Q20" s="5"/>
    </row>
    <row r="21" spans="1:18">
      <c r="A21" s="183"/>
      <c r="B21" s="119"/>
      <c r="E21" s="155"/>
      <c r="H21" s="139"/>
      <c r="I21" s="139"/>
      <c r="M21" s="362"/>
      <c r="N21" s="362"/>
      <c r="O21" s="362"/>
      <c r="P21" s="362"/>
      <c r="Q21"/>
    </row>
    <row r="22" spans="1:18" ht="15">
      <c r="B22" s="140" t="s">
        <v>201</v>
      </c>
      <c r="C22" s="122"/>
      <c r="D22" s="115" t="s">
        <v>97</v>
      </c>
      <c r="E22" s="155" t="s">
        <v>202</v>
      </c>
      <c r="F22" s="115" t="s">
        <v>195</v>
      </c>
      <c r="H22" s="133"/>
      <c r="I22" s="133"/>
      <c r="J22" s="133"/>
      <c r="M22" s="362"/>
      <c r="N22" s="362"/>
      <c r="O22" s="362"/>
      <c r="P22" s="362"/>
      <c r="Q22"/>
    </row>
    <row r="23" spans="1:18" ht="15">
      <c r="B23" s="119" t="s">
        <v>129</v>
      </c>
      <c r="C23" s="156">
        <v>6.2E-2</v>
      </c>
      <c r="D23" s="183">
        <f>SUM(E23:F23)</f>
        <v>3230.2798559999997</v>
      </c>
      <c r="E23" s="183">
        <f>SUM(E$16:E$17,E$19:E$19)*C23</f>
        <v>3230.2798559999997</v>
      </c>
      <c r="F23" s="183">
        <f>F$18*C23</f>
        <v>0</v>
      </c>
      <c r="G23" s="136"/>
      <c r="H23" s="133"/>
      <c r="I23" s="133"/>
      <c r="J23" s="133"/>
      <c r="M23" s="362"/>
      <c r="N23" s="362"/>
      <c r="O23" s="362"/>
      <c r="P23" s="362"/>
      <c r="Q23"/>
    </row>
    <row r="24" spans="1:18" ht="15">
      <c r="B24" s="119" t="s">
        <v>130</v>
      </c>
      <c r="C24" s="156">
        <v>1.4500000000000001E-2</v>
      </c>
      <c r="D24" s="183">
        <f>SUM(E24:F24)</f>
        <v>755.46867599999996</v>
      </c>
      <c r="E24" s="183">
        <f>SUM(E$16:E$17,E$19:E$19)*C24</f>
        <v>755.46867599999996</v>
      </c>
      <c r="F24" s="183">
        <f>F$18*C24</f>
        <v>0</v>
      </c>
      <c r="G24" s="136"/>
      <c r="H24" s="133"/>
      <c r="I24" s="133"/>
      <c r="J24" s="133"/>
      <c r="M24" s="362"/>
      <c r="N24" s="362"/>
      <c r="O24" s="362"/>
      <c r="P24" s="362"/>
      <c r="Q24" s="29"/>
    </row>
    <row r="25" spans="1:18" ht="15">
      <c r="B25" s="119" t="s">
        <v>203</v>
      </c>
      <c r="C25" s="156">
        <v>5.0000000000000001E-3</v>
      </c>
      <c r="D25" s="183">
        <f>SUM(E25:F25)</f>
        <v>260.50644</v>
      </c>
      <c r="E25" s="183">
        <f>SUM(E$16:E$17,E$19:E$19)*C25</f>
        <v>260.50644</v>
      </c>
      <c r="F25" s="183">
        <f>F$18*C25</f>
        <v>0</v>
      </c>
      <c r="G25" s="136"/>
      <c r="H25" s="133"/>
      <c r="I25" s="339"/>
      <c r="J25" s="133"/>
      <c r="K25" s="133"/>
      <c r="L25" s="133"/>
      <c r="M25" s="362"/>
      <c r="N25" s="362"/>
      <c r="O25" s="362"/>
      <c r="P25" s="362"/>
      <c r="Q25" s="133"/>
    </row>
    <row r="26" spans="1:18" ht="15">
      <c r="B26" s="119" t="s">
        <v>132</v>
      </c>
      <c r="C26" s="156">
        <v>0.02</v>
      </c>
      <c r="D26" s="183">
        <f>SUM(E26:F26)</f>
        <v>1042.02576</v>
      </c>
      <c r="E26" s="183">
        <f>SUM(E$16:E$17,E$19:E$19)*C26</f>
        <v>1042.02576</v>
      </c>
      <c r="F26" s="183">
        <f>F$18*C26</f>
        <v>0</v>
      </c>
      <c r="G26" s="136"/>
      <c r="H26" s="133"/>
      <c r="I26" s="378"/>
      <c r="J26" s="133"/>
      <c r="K26" s="133"/>
      <c r="L26" s="133"/>
      <c r="M26" s="362"/>
      <c r="N26" s="362"/>
      <c r="O26" s="362"/>
      <c r="P26" s="362"/>
      <c r="Q26" s="133"/>
    </row>
    <row r="27" spans="1:18" ht="14">
      <c r="B27" s="159" t="s">
        <v>133</v>
      </c>
      <c r="C27" s="160">
        <f>SUM(C23:C26)</f>
        <v>0.10150000000000001</v>
      </c>
      <c r="D27" s="411">
        <f t="shared" ref="D27:F27" si="5">SUM(D23:D26)</f>
        <v>5288.2807319999993</v>
      </c>
      <c r="E27" s="411">
        <f t="shared" si="5"/>
        <v>5288.2807319999993</v>
      </c>
      <c r="F27" s="411">
        <f t="shared" si="5"/>
        <v>0</v>
      </c>
      <c r="G27" s="141"/>
      <c r="H27" s="293">
        <f>E27/A11</f>
        <v>881.38012199999991</v>
      </c>
      <c r="I27" s="379">
        <f>SUM((F27*0.75))</f>
        <v>0</v>
      </c>
      <c r="J27" s="380">
        <f>SUM((E27/A11))</f>
        <v>881.38012199999991</v>
      </c>
      <c r="K27" s="183"/>
    </row>
    <row r="28" spans="1:18">
      <c r="B28" s="119"/>
      <c r="D28" s="115">
        <f>D27/D47</f>
        <v>6.0071531942823664E-2</v>
      </c>
      <c r="E28" s="155"/>
      <c r="F28" s="120"/>
      <c r="G28" s="157"/>
      <c r="H28" s="379"/>
      <c r="I28" s="379">
        <f>SUM(F27*0.25)</f>
        <v>0</v>
      </c>
      <c r="J28" s="381">
        <f>(F27*0.25/(SUM(A6:A7)*A7))</f>
        <v>0</v>
      </c>
      <c r="K28" s="139"/>
    </row>
    <row r="29" spans="1:18" ht="14">
      <c r="B29" s="140" t="s">
        <v>134</v>
      </c>
      <c r="C29" s="161" t="s">
        <v>204</v>
      </c>
      <c r="F29" s="169"/>
      <c r="G29" s="155"/>
      <c r="H29" s="136"/>
    </row>
    <row r="30" spans="1:18" ht="14">
      <c r="B30" s="119" t="s">
        <v>205</v>
      </c>
      <c r="C30" s="161">
        <f>IF(SickDaysFCC&gt;0,(SickDaysFCC*(C18/2080)*10),0)</f>
        <v>1800</v>
      </c>
      <c r="D30" s="183">
        <f>SUM(E30:F30)</f>
        <v>1816.0096153846155</v>
      </c>
      <c r="E30" s="183">
        <f>SUM(A16:A17,A19:A19)*C30</f>
        <v>1816.0096153846155</v>
      </c>
      <c r="F30" s="169">
        <f>A$18*C30</f>
        <v>0</v>
      </c>
      <c r="G30" s="155"/>
      <c r="H30" s="136"/>
    </row>
    <row r="31" spans="1:18" ht="14">
      <c r="B31" s="119" t="s">
        <v>206</v>
      </c>
      <c r="C31" s="161">
        <f>IF(PaidLeaveFCC&gt;0,(PaidLeaveFCC*(C17/2080)*10),0)</f>
        <v>1800</v>
      </c>
      <c r="D31" s="376">
        <f>SUM(E31:F31)</f>
        <v>1816.0096153846155</v>
      </c>
      <c r="E31" s="161">
        <f>SUM(A16:A17,A19:A19)*C31</f>
        <v>1816.0096153846155</v>
      </c>
      <c r="F31" s="169">
        <f>A$18*C31</f>
        <v>0</v>
      </c>
      <c r="G31" s="155"/>
      <c r="H31" s="136"/>
    </row>
    <row r="32" spans="1:18" ht="14">
      <c r="B32" s="162" t="s">
        <v>52</v>
      </c>
      <c r="C32" s="155">
        <f>IF(HealthInsFCC="Yes",H32, "0")</f>
        <v>5864</v>
      </c>
      <c r="D32" s="376">
        <f>SUM(E32:F32)</f>
        <v>5864</v>
      </c>
      <c r="E32" s="155">
        <f>A20*C32</f>
        <v>5864</v>
      </c>
      <c r="F32" s="286">
        <f>A$18*C32</f>
        <v>0</v>
      </c>
      <c r="G32" s="155"/>
      <c r="H32" s="186">
        <f>SUM(Addl_benefits_per_staff*M14,Addl_benefits_per_staff)</f>
        <v>5864</v>
      </c>
    </row>
    <row r="33" spans="2:11">
      <c r="B33" s="117" t="s">
        <v>186</v>
      </c>
      <c r="C33" s="163"/>
      <c r="D33" s="141">
        <f>SUM(E33:F33)</f>
        <v>9496.0192307692305</v>
      </c>
      <c r="E33" s="141">
        <f>SUM(E30:E32)</f>
        <v>9496.0192307692305</v>
      </c>
      <c r="F33" s="141">
        <f>SUM(F30:F32)</f>
        <v>0</v>
      </c>
      <c r="G33" s="141"/>
      <c r="H33" s="136"/>
      <c r="I33" s="357"/>
      <c r="J33" s="183"/>
      <c r="K33" s="183"/>
    </row>
    <row r="34" spans="2:11">
      <c r="B34" s="162"/>
      <c r="C34" s="163"/>
      <c r="D34" s="155"/>
      <c r="E34" s="155"/>
      <c r="F34" s="158"/>
      <c r="G34" s="164"/>
      <c r="H34" s="139"/>
      <c r="I34" s="139"/>
    </row>
    <row r="35" spans="2:11">
      <c r="B35" s="117" t="s">
        <v>207</v>
      </c>
      <c r="C35" s="120"/>
      <c r="D35" s="141">
        <f>SUM(E35:F35)</f>
        <v>66885.587962769219</v>
      </c>
      <c r="E35" s="141">
        <f>E16+E17+E27+E33+E19</f>
        <v>66885.587962769219</v>
      </c>
      <c r="F35" s="141">
        <f>F18+F27+F33+F34</f>
        <v>0</v>
      </c>
      <c r="G35" s="141"/>
    </row>
    <row r="36" spans="2:11">
      <c r="B36" s="119"/>
      <c r="D36" s="169"/>
      <c r="E36" s="155"/>
    </row>
    <row r="37" spans="2:11" ht="35" thickBot="1">
      <c r="B37" s="165" t="s">
        <v>208</v>
      </c>
      <c r="C37" s="166"/>
      <c r="D37" s="147" t="s">
        <v>97</v>
      </c>
      <c r="E37" s="334"/>
      <c r="F37" s="334"/>
      <c r="G37" s="147"/>
    </row>
    <row r="38" spans="2:11" ht="14">
      <c r="B38" s="119" t="s">
        <v>209</v>
      </c>
      <c r="E38" s="155"/>
      <c r="F38" s="431">
        <v>0</v>
      </c>
      <c r="G38" s="115" t="s">
        <v>423</v>
      </c>
    </row>
    <row r="39" spans="2:11" ht="14">
      <c r="B39" s="119" t="s">
        <v>210</v>
      </c>
      <c r="D39" s="155">
        <f>SUM((QualityHomeProfile!F38*Nonpersonnel!K38),Nonpersonnel!K38)*A11</f>
        <v>3861.5735199999999</v>
      </c>
      <c r="E39" s="136"/>
      <c r="F39" s="136"/>
      <c r="G39" s="136"/>
      <c r="I39" s="136"/>
    </row>
    <row r="40" spans="2:11" ht="14">
      <c r="B40" s="119" t="s">
        <v>211</v>
      </c>
      <c r="D40" s="155">
        <f>SUM((QualityHomeProfile!F38*Nonpersonnel!K40),Nonpersonnel!K40)*A11</f>
        <v>7192.9223463999997</v>
      </c>
      <c r="E40" s="136"/>
      <c r="F40" s="136"/>
      <c r="G40" s="136"/>
      <c r="I40" s="183"/>
    </row>
    <row r="41" spans="2:11" ht="14">
      <c r="B41" s="119" t="s">
        <v>212</v>
      </c>
      <c r="D41" s="155">
        <f>IF('VariablesINPUT-FCC'!F2="COVID",(Nonpersonnel!J48+Nonpersonnel!J49),0)*12</f>
        <v>0</v>
      </c>
      <c r="E41" s="136"/>
      <c r="F41" s="136"/>
      <c r="I41" s="155"/>
    </row>
    <row r="42" spans="2:11" ht="14">
      <c r="B42" s="294" t="s">
        <v>141</v>
      </c>
      <c r="C42" s="167"/>
      <c r="D42" s="155">
        <f>SUM((QualityHomeProfile!F38*Nonpersonnel!M39),Nonpersonnel!M39)</f>
        <v>5900.9250000000002</v>
      </c>
      <c r="E42" s="136"/>
      <c r="F42" s="136"/>
      <c r="G42" s="136"/>
      <c r="I42" s="155"/>
    </row>
    <row r="43" spans="2:11">
      <c r="B43" s="119"/>
      <c r="C43" s="117" t="s">
        <v>213</v>
      </c>
      <c r="D43" s="168">
        <f>SUM(D39:D42)</f>
        <v>16955.4208664</v>
      </c>
      <c r="E43" s="168"/>
    </row>
    <row r="44" spans="2:11" ht="14">
      <c r="B44" s="119" t="s">
        <v>147</v>
      </c>
      <c r="C44" s="287">
        <v>0.05</v>
      </c>
      <c r="D44" s="286">
        <f>SUM(D43,E35)*C44</f>
        <v>4192.0504414584611</v>
      </c>
      <c r="E44" s="136"/>
      <c r="F44" s="136"/>
      <c r="H44" s="136"/>
    </row>
    <row r="45" spans="2:11">
      <c r="B45" s="119"/>
      <c r="C45" s="345" t="s">
        <v>214</v>
      </c>
      <c r="D45" s="288">
        <f>SUM(D43:D44)</f>
        <v>21147.471307858461</v>
      </c>
      <c r="E45" s="168"/>
      <c r="F45" s="394">
        <f>D43/D47</f>
        <v>0.19260288131389741</v>
      </c>
      <c r="G45" s="118"/>
      <c r="H45" s="347"/>
    </row>
    <row r="46" spans="2:11">
      <c r="B46" s="119"/>
      <c r="C46" s="335"/>
      <c r="D46" s="346">
        <f>D45/A11</f>
        <v>3524.5785513097435</v>
      </c>
      <c r="E46" s="347"/>
      <c r="F46" s="395"/>
      <c r="G46" s="347"/>
      <c r="H46" s="347"/>
    </row>
    <row r="47" spans="2:11">
      <c r="B47" s="153"/>
      <c r="C47" s="397" t="s">
        <v>215</v>
      </c>
      <c r="D47" s="288">
        <f>D35+D45</f>
        <v>88033.05927062768</v>
      </c>
      <c r="E47" s="168"/>
      <c r="F47" s="345"/>
      <c r="H47" s="377"/>
      <c r="I47" s="136"/>
    </row>
    <row r="48" spans="2:11" ht="14">
      <c r="B48" s="119" t="s">
        <v>21</v>
      </c>
      <c r="C48" s="287">
        <v>0.08</v>
      </c>
      <c r="D48" s="286">
        <f>IF('VariablesINPUT-FCC'!C15='VariablesINPUT-FCC'!F15,C48*D58,0)</f>
        <v>0</v>
      </c>
      <c r="E48" s="136"/>
      <c r="F48" s="139"/>
    </row>
    <row r="49" spans="1:16">
      <c r="B49" s="653" t="s">
        <v>216</v>
      </c>
      <c r="C49" s="653"/>
      <c r="D49" s="141">
        <f>SUM(D47:D48)</f>
        <v>88033.05927062768</v>
      </c>
      <c r="E49" s="157"/>
      <c r="F49" s="396">
        <f>D35/D47</f>
        <v>0.75977807106705497</v>
      </c>
    </row>
    <row r="50" spans="1:16">
      <c r="B50" s="119"/>
      <c r="C50" s="118" t="s">
        <v>217</v>
      </c>
      <c r="D50" s="347">
        <f>D49/A11</f>
        <v>14672.176545104614</v>
      </c>
      <c r="E50" s="348"/>
      <c r="F50" s="347"/>
      <c r="G50" s="347"/>
      <c r="H50" s="349"/>
      <c r="I50" s="136"/>
    </row>
    <row r="51" spans="1:16">
      <c r="A51" s="115" t="s">
        <v>152</v>
      </c>
      <c r="B51" s="169"/>
      <c r="C51" s="136"/>
      <c r="H51" s="155"/>
      <c r="M51"/>
      <c r="N51"/>
      <c r="O51"/>
      <c r="P51"/>
    </row>
    <row r="52" spans="1:16" customFormat="1" ht="14">
      <c r="A52" s="246">
        <f>SUM(A55:A56)</f>
        <v>6</v>
      </c>
      <c r="B52" s="366" t="s">
        <v>153</v>
      </c>
      <c r="C52" s="367" t="s">
        <v>154</v>
      </c>
      <c r="D52" s="365" t="s">
        <v>154</v>
      </c>
      <c r="E52" s="365" t="s">
        <v>155</v>
      </c>
      <c r="F52" s="364"/>
      <c r="G52" s="364"/>
      <c r="H52" s="364"/>
      <c r="I52" s="364"/>
      <c r="J52" s="29"/>
    </row>
    <row r="53" spans="1:16" customFormat="1">
      <c r="A53" s="77"/>
      <c r="B53" s="245" t="s">
        <v>64</v>
      </c>
      <c r="D53" s="25"/>
      <c r="E53" s="29"/>
      <c r="I53" s="11"/>
      <c r="J53" s="29"/>
    </row>
    <row r="54" spans="1:16" customFormat="1">
      <c r="A54" s="272">
        <f>'VariablesINPUT-FCC'!D45</f>
        <v>4</v>
      </c>
      <c r="B54" s="77" t="s">
        <v>156</v>
      </c>
      <c r="D54" s="25">
        <f>SUM(('VariablesINPUT-FCC'!C44*'Fed CACFP'!F14),('VariablesINPUT-FCC'!D44*'Fed CACFP'!F15))*52</f>
        <v>7124</v>
      </c>
      <c r="E54" s="29"/>
      <c r="F54" s="48" t="s">
        <v>157</v>
      </c>
      <c r="G54" s="48" t="s">
        <v>158</v>
      </c>
      <c r="H54" s="48" t="s">
        <v>159</v>
      </c>
      <c r="I54" s="260" t="s">
        <v>160</v>
      </c>
      <c r="J54" s="48" t="s">
        <v>17</v>
      </c>
    </row>
    <row r="55" spans="1:16" customFormat="1">
      <c r="A55" s="272">
        <f>'VariablesINPUT-FCC'!D44</f>
        <v>2</v>
      </c>
      <c r="B55" s="77" t="s">
        <v>161</v>
      </c>
      <c r="D55" s="25">
        <f>SUM(F55:J55)*12</f>
        <v>12844.800000000001</v>
      </c>
      <c r="E55" s="29"/>
      <c r="F55" s="371">
        <f>IF(AND(C52="Metro",'VariablesINPUT-FCC'!E12="Cuidado infantil familiar en el hogar",D1="Licensing/Star 2"),('VariablesINPUT-FCC'!D39*'Tuition Rates'!C6),
IF(AND(C52="Metro",'VariablesINPUT-FCC'!E12="Cuidado infantil familiar en el hogar",D1="Star 2+/3"),('VariablesINPUT-FCC'!D39*'Tuition Rates'!C18),
IF(AND(C52="Metro",'VariablesINPUT-FCC'!E12="Cuidado infantil familiar en el hogar",D1="Star 4"),('VariablesINPUT-FCC'!D39*'Tuition Rates'!C24),
IF(AND(C52="Metro",'VariablesINPUT-FCC'!E12="Cuidado infantil familiar en el hogar",D1="Star 5"),('VariablesINPUT-FCC'!D39*'Tuition Rates'!C30),
IF(AND(C52="Rural",'VariablesINPUT-FCC'!E12="Cuidado infantil familiar en el hogar",D1="Licensing/Star 2"),('VariablesINPUT-FCC'!D39*'Tuition Rates'!C37),
IF(AND(C52="Rural",'VariablesINPUT-FCC'!E12="Cuidado infantil familiar en el hogar",D1="Star 2+/3"),('VariablesINPUT-FCC'!D39*'Tuition Rates'!C49),
IF(AND(C52="Rural",'VariablesINPUT-FCC'!E12="Cuidado infantil familiar en el hogar",D1="Star 4"),('VariablesINPUT-FCC'!D39*'Tuition Rates'!C55),
IF(AND(C52="Rural",'VariablesINPUT-FCC'!E12="Cuidado infantil familiar en el hogar",D1="Star 5"),('VariablesINPUT-FCC'!D39*'Tuition Rates'!C61),
IF(AND(C52="Metro",'VariablesINPUT-FCC'!E12="Casa de grupo",D1="Licensing/Star 2"),('VariablesINPUT-FCC'!D39*'Tuition Rates'!C5),
IF(AND(C52="Metro",'VariablesINPUT-FCC'!E12="Casa de grupo",D1="Star 2+/3"),('VariablesINPUT-FCC'!D39*'Tuition Rates'!C17),
IF(AND(C52="Metro",'VariablesINPUT-FCC'!E12="Casa de grupo",D1="Star 4"),('VariablesINPUT-FCC'!D39*'Tuition Rates'!C23),
IF(AND(C52="Metro",'VariablesINPUT-FCC'!E12="Casa de grupo",D1="Star 5"),('VariablesINPUT-FCC'!D39*'Tuition Rates'!C29),
IF(AND(C52="Rural",'VariablesINPUT-FCC'!E12="Casa de grupo",D1="Licensing/Star 2"),('VariablesINPUT-FCC'!D39*'Tuition Rates'!C36),
IF(AND(C52="Rural",'VariablesINPUT-FCC'!E12="Casa de grupo",D1="Star 2+/3"),('VariablesINPUT-FCC'!D39*'Tuition Rates'!C48),
IF(AND(C52="Rural",'VariablesINPUT-FCC'!E12="Casa de grupo",D1="Star 4"),('VariablesINPUT-FCC'!D39*'Tuition Rates'!C54),
IF(AND(C52="Rural",'VariablesINPUT-FCC'!E12="Casa de grupo",D1="Star 5"),('VariablesINPUT-FCC'!D39*'Tuition Rates'!C60),0))))))))))))))))</f>
        <v>535.20000000000005</v>
      </c>
      <c r="G55" s="371">
        <f>IF(AND(C52="Metro",'VariablesINPUT-FCC'!$E12="Cuidado infantil familiar en el hogar",$D1="Licensing/Star 2"),('VariablesINPUT-FCC'!$D40*'Tuition Rates'!D6),
IF(AND(C52="Metro",'VariablesINPUT-FCC'!$E12="Cuidado infantil familiar en el hogar",$D1="Star 2+/3"),('VariablesINPUT-FCC'!$D40*'Tuition Rates'!D18),
IF(AND(C52="Metro",'VariablesINPUT-FCC'!$E12="Cuidado infantil familiar en el hogar",$D1="Star 4"),('VariablesINPUT-FCC'!$D40*'Tuition Rates'!D24),
IF(AND(C52="Metro",'VariablesINPUT-FCC'!$E12="Cuidado infantil familiar en el hogar",$D1="Star 5"),('VariablesINPUT-FCC'!$D40*'Tuition Rates'!D30),
IF(AND(C52="Rural",'VariablesINPUT-FCC'!$E12="Cuidado infantil familiar en el hogar",$D1="Licensing/Star 2"),('VariablesINPUT-FCC'!$D40*'Tuition Rates'!D37),
IF(AND(C52="Rural",'VariablesINPUT-FCC'!$E12="Cuidado infantil familiar en el hogar",$D1="Star 2+/3"),('VariablesINPUT-FCC'!$D40*'Tuition Rates'!D49),
IF(AND(C52="Rural",'VariablesINPUT-FCC'!$E12="Cuidado infantil familiar en el hogar",$D1="Star 4"),('VariablesINPUT-FCC'!$D40*'Tuition Rates'!D55),
IF(AND(C52="Rural",'VariablesINPUT-FCC'!$E12="Cuidado infantil familiar en el hogar",$D1="Star 5"),('VariablesINPUT-FCC'!$D40*'Tuition Rates'!D61),
IF(AND(C52="Metro",'VariablesINPUT-FCC'!$E12="Casa de grupo",$D1="Licensing/Star 2"),('VariablesINPUT-FCC'!$D40*'Tuition Rates'!D5),
IF(AND(C52="Metro",'VariablesINPUT-FCC'!$E12="Casa de grupo",$D1="Star 2+/3"),('VariablesINPUT-FCC'!$D40*'Tuition Rates'!D17),
IF(AND(C52="Metro",'VariablesINPUT-FCC'!$E12="Casa de grupo",$D1="Star 4"),('VariablesINPUT-FCC'!$D40*'Tuition Rates'!D23),
IF(AND(C52="Metro",'VariablesINPUT-FCC'!$E12="Casa de grupo",$D1="Star 5"),('VariablesINPUT-FCC'!$D40*'Tuition Rates'!D29),
IF(AND(C52="Rural",'VariablesINPUT-FCC'!$E12="Casa de grupo",$D1="Licensing/Star 2"),('VariablesINPUT-FCC'!$D40*'Tuition Rates'!D36),
IF(AND(C52="Rural",'VariablesINPUT-FCC'!$E12="Casa de grupo",$D1="Star 2+/3"),('VariablesINPUT-FCC'!$D40*'Tuition Rates'!D48),
IF(AND(C52="Rural",'VariablesINPUT-FCC'!$E12="Casa de grupo",$D1="Star 4"),('VariablesINPUT-FCC'!$D40*'Tuition Rates'!D54),
IF(AND(C52="Rural",'VariablesINPUT-FCC'!$E12="Casa de grupo",$D1="Star 5"),('VariablesINPUT-FCC'!$D40*'Tuition Rates'!D60),0))))))))))))))))</f>
        <v>0</v>
      </c>
      <c r="H55" s="371">
        <f>IF(AND(C52="Metro",'VariablesINPUT-FCC'!$E12="Cuidado infantil familiar en el hogar",$D1="Licensing/Star 2"),('VariablesINPUT-FCC'!$D41*'Tuition Rates'!E6),
IF(AND(C52="Metro",'VariablesINPUT-FCC'!$E12="Cuidado infantil familiar en el hogar",$D1="Star 2+/3"),('VariablesINPUT-FCC'!$D41*'Tuition Rates'!E18),
IF(AND(C52="Metro",'VariablesINPUT-FCC'!$E12="Cuidado infantil familiar en el hogar",$D1="Star 4"),('VariablesINPUT-FCC'!$D41*'Tuition Rates'!E24),
IF(AND(C52="Metro",'VariablesINPUT-FCC'!$E12="Cuidado infantil familiar en el hogar",$D1="Star 5"),('VariablesINPUT-FCC'!$D41*'Tuition Rates'!E30),
IF(AND(C52="Rural",'VariablesINPUT-FCC'!$E12="Cuidado infantil familiar en el hogar",$D1="Licensing/Star 2"),('VariablesINPUT-FCC'!$D41*'Tuition Rates'!E37),
IF(AND(C52="Rural",'VariablesINPUT-FCC'!$E12="Cuidado infantil familiar en el hogar",$D1="Star 2+/3"),('VariablesINPUT-FCC'!$D41*'Tuition Rates'!E49),
IF(AND(C52="Rural",'VariablesINPUT-FCC'!$E12="Cuidado infantil familiar en el hogar",$D1="Star 4"),('VariablesINPUT-FCC'!$D41*'Tuition Rates'!E55),
IF(AND(C52="Rural",'VariablesINPUT-FCC'!$E12="Cuidado infantil familiar en el hogar",$D1="Star 5"),('VariablesINPUT-FCC'!$D41*'Tuition Rates'!E61),
IF(AND(C52="Metro",'VariablesINPUT-FCC'!$E12="Casa de grupo",$D1="Licensing/Star 2"),('VariablesINPUT-FCC'!$D41*'Tuition Rates'!E5),
IF(AND(C52="Metro",'VariablesINPUT-FCC'!$E12="Casa de grupo",$D1="Star 2+/3"),('VariablesINPUT-FCC'!$D41*'Tuition Rates'!E17),
IF(AND(C52="Metro",'VariablesINPUT-FCC'!$E12="Casa de grupo",$D1="Star 4"),('VariablesINPUT-FCC'!$D41*'Tuition Rates'!E23),
IF(AND(C52="Metro",'VariablesINPUT-FCC'!$E12="Casa de grupo",$D1="Star 5"),('VariablesINPUT-FCC'!$D41*'Tuition Rates'!E29),
IF(AND(C52="Rural",'VariablesINPUT-FCC'!$E12="Casa de grupo",$D1="Licensing/Star 2"),('VariablesINPUT-FCC'!$D41*'Tuition Rates'!E36),
IF(AND(C52="Rural",'VariablesINPUT-FCC'!$E12="Casa de grupo",$D1="Star 2+/3"),('VariablesINPUT-FCC'!$D41*'Tuition Rates'!E48),
IF(AND(C52="Rural",'VariablesINPUT-FCC'!$E12="Casa de grupo",$D1="Star 4"),('VariablesINPUT-FCC'!$D41*'Tuition Rates'!E54),
IF(AND(C52="Rural",'VariablesINPUT-FCC'!$E12="Casa de grupo",$D1="Star 5"),('VariablesINPUT-FCC'!$D41*'Tuition Rates'!E60),0))))))))))))))))</f>
        <v>0</v>
      </c>
      <c r="I55" s="371">
        <f>IF(AND(C52="Metro",'VariablesINPUT-FCC'!$E12="Cuidado infantil familiar en el hogar",$D1="Licensing/Star 2"),('VariablesINPUT-FCC'!$D42*'Tuition Rates'!F6),
IF(AND(C52="Metro",'VariablesINPUT-FCC'!$E12="Cuidado infantil familiar en el hogar",$D1="Star 2+/3"),('VariablesINPUT-FCC'!$D42*'Tuition Rates'!F18),
IF(AND(C52="Metro",'VariablesINPUT-FCC'!$E12="Cuidado infantil familiar en el hogar",$D1="Star 4"),('VariablesINPUT-FCC'!$D42*'Tuition Rates'!F24),
IF(AND(C52="Metro",'VariablesINPUT-FCC'!$E12="Cuidado infantil familiar en el hogar",$D1="Star 5"),('VariablesINPUT-FCC'!$D42*'Tuition Rates'!F30),
IF(AND(C52="Rural",'VariablesINPUT-FCC'!$E12="Cuidado infantil familiar en el hogar",$D1="Licensing/Star 2"),('VariablesINPUT-FCC'!$D42*'Tuition Rates'!F37),
IF(AND(C52="Rural",'VariablesINPUT-FCC'!$E12="Cuidado infantil familiar en el hogar",$D1="Star 2+/3"),('VariablesINPUT-FCC'!$D42*'Tuition Rates'!F49),
IF(AND(C52="Rural",'VariablesINPUT-FCC'!$E12="Cuidado infantil familiar en el hogar",$D1="Star 4"),('VariablesINPUT-FCC'!$D42*'Tuition Rates'!F55),
IF(AND(C52="Rural",'VariablesINPUT-FCC'!$E12="Cuidado infantil familiar en el hogar",$D1="Star 5"),('VariablesINPUT-FCC'!$D42*'Tuition Rates'!F61),
IF(AND(C52="Metro",'VariablesINPUT-FCC'!$E12="Casa de grupo",$D1="Licensing/Star 2"),('VariablesINPUT-FCC'!$D42*'Tuition Rates'!F5),
IF(AND(C52="Metro",'VariablesINPUT-FCC'!$E12="Casa de grupo",$D1="Star 2+/3"),('VariablesINPUT-FCC'!$D42*'Tuition Rates'!F17),
IF(AND(C52="Metro",'VariablesINPUT-FCC'!$E12="Casa de grupo",$D1="Star 4"),('VariablesINPUT-FCC'!$D42*'Tuition Rates'!F23),
IF(AND(C52="Metro",'VariablesINPUT-FCC'!$E12="Casa de grupo",$D1="Star 5"),('VariablesINPUT-FCC'!$D42*'Tuition Rates'!F29),
IF(AND(C52="Rural",'VariablesINPUT-FCC'!$E12="Casa de grupo",$D1="Licensing/Star 2"),('VariablesINPUT-FCC'!$D42*'Tuition Rates'!F36),
IF(AND(C52="Rural",'VariablesINPUT-FCC'!$E12="Casa de grupo",$D1="Star 2+/3"),('VariablesINPUT-FCC'!$D42*'Tuition Rates'!F48),
IF(AND(C52="Rural",'VariablesINPUT-FCC'!$E12="Casa de grupo",$D1="Star 4"),('VariablesINPUT-FCC'!$D42*'Tuition Rates'!F54),
IF(AND(C52="Rural",'VariablesINPUT-FCC'!$E12="Casa de grupo",$D1="Star 5"),('VariablesINPUT-FCC'!$D42*'Tuition Rates'!F60),0))))))))))))))))</f>
        <v>535.20000000000005</v>
      </c>
      <c r="J55" s="371">
        <f>IF(AND(C52="Metro",'VariablesINPUT-FCC'!$E12="Cuidado infantil familiar en el hogar",$D1="Licensing/Star 2"),('VariablesINPUT-FCC'!$D43*'Tuition Rates'!G6),
IF(AND(C52="Metro",'VariablesINPUT-FCC'!$E12="Cuidado infantil familiar en el hogar",$D1="Star 2+/3"),('VariablesINPUT-FCC'!$D43*'Tuition Rates'!G18),
IF(AND(C52="Metro",'VariablesINPUT-FCC'!$E12="Cuidado infantil familiar en el hogar",$D1="Star 4"),('VariablesINPUT-FCC'!$D43*'Tuition Rates'!G24),
IF(AND(C52="Metro",'VariablesINPUT-FCC'!$E12="Cuidado infantil familiar en el hogar",$D1="Star 5"),('VariablesINPUT-FCC'!$D43*'Tuition Rates'!G30),
IF(AND(C52="Rural",'VariablesINPUT-FCC'!$E12="Cuidado infantil familiar en el hogar",$D1="Licensing/Star 2"),('VariablesINPUT-FCC'!$D43*'Tuition Rates'!G37),
IF(AND(C52="Rural",'VariablesINPUT-FCC'!$E12="Cuidado infantil familiar en el hogar",$D1="Star 2+/3"),('VariablesINPUT-FCC'!$D43*'Tuition Rates'!G49),
IF(AND(C52="Rural",'VariablesINPUT-FCC'!$E12="Cuidado infantil familiar en el hogar",$D1="Star 4"),('VariablesINPUT-FCC'!$D43*'Tuition Rates'!G55),
IF(AND(C52="Rural",'VariablesINPUT-FCC'!$E12="Cuidado infantil familiar en el hogar",$D1="Star 5"),('VariablesINPUT-FCC'!$D43*'Tuition Rates'!G61),
IF(AND(C52="Metro",'VariablesINPUT-FCC'!$E12="Casa de grupo",$D1="Licensing/Star 2"),('VariablesINPUT-FCC'!$D43*'Tuition Rates'!G5),
IF(AND(C52="Metro",'VariablesINPUT-FCC'!$E12="Casa de grupo",$D1="Star 2+/3"),('VariablesINPUT-FCC'!$D43*'Tuition Rates'!G17),
IF(AND(C52="Metro",'VariablesINPUT-FCC'!$E12="Casa de grupo",$D1="Star 4"),('VariablesINPUT-FCC'!$D43*'Tuition Rates'!G23),
IF(AND(C52="Metro",'VariablesINPUT-FCC'!$E12="Casa de grupo",$D1="Star 5"),('VariablesINPUT-FCC'!$D43*'Tuition Rates'!G29),
IF(AND(C52="Rural",'VariablesINPUT-FCC'!$E12="Casa de grupo",$D1="Licensing/Star 2"),('VariablesINPUT-FCC'!$D43*'Tuition Rates'!G36),
IF(AND(C52="Rural",'VariablesINPUT-FCC'!$E12="Casa de grupoe",$D1="Star 2+/3"),('VariablesINPUT-FCC'!$D43*'Tuition Rates'!G48),
IF(AND(C52="Rural",'VariablesINPUT-FCC'!$E12="Casa de grupo",$D1="Star 4"),('VariablesINPUT-FCC'!$D43*'Tuition Rates'!G54),
IF(AND(C52="Rural",'VariablesINPUT-FCC'!$E12="Casa de grupo",$D1="Star 5"),('VariablesINPUT-FCC'!$D43*'Tuition Rates'!G60),"ERROR"))))))))))))))))</f>
        <v>0</v>
      </c>
    </row>
    <row r="56" spans="1:16" customFormat="1">
      <c r="A56" s="272">
        <f>'VariablesINPUT-FCC'!C44</f>
        <v>4</v>
      </c>
      <c r="B56" s="77" t="s">
        <v>66</v>
      </c>
      <c r="D56" s="25">
        <f>SUM(F56:J56)*12</f>
        <v>16500</v>
      </c>
      <c r="E56" s="29"/>
      <c r="F56" s="370">
        <f>IF(AND('VariablesINPUT-FCC'!$E12="Cuidado infantil familiar en el hogar",D1="Licensing/Star 2"),('VariablesINPUT-FCC'!C$39*'Subsidy rates'!$B11),
IF(AND('VariablesINPUT-FCC'!$E12="Cuidado infantil familiar en el hogar",D1="Star 2+/3"),('VariablesINPUT-FCC'!C$39*'Subsidy rates'!$C11),
IF(AND('VariablesINPUT-FCC'!$E12="Cuidado infantil familiar en el hogar",D1="Star 4"),('VariablesINPUT-FCC'!C$39*'Subsidy rates'!$D11),
IF(AND('VariablesINPUT-FCC'!$E12="Cuidado infantil familiar en el hogar",D1="Star 5"),('VariablesINPUT-FCC'!C$39*'Subsidy rates'!$E11),
IF(AND('VariablesINPUT-FCC'!$E12="Casa de grupo",D1="Licensing/Star 2"),('VariablesINPUT-FCC'!C$39*'Subsidy rates'!$B20),
IF(AND('VariablesINPUT-FCC'!$E12="Casa de grupo",D1="Star 2+/3"),('VariablesINPUT-FCC'!C$39*'Subsidy rates'!$C20),
IF(AND('VariablesINPUT-FCC'!$E12="Casa de grupo",D1="Star 4"),('VariablesINPUT-FCC'!C$39*'Subsidy rates'!$D20),
IF(AND('VariablesINPUT-FCC'!$E12="Casa de grupo",D1="Star 5"),('VariablesINPUT-FCC'!C$39*'Subsidy rates'!$E20),
0))))))))</f>
        <v>1375</v>
      </c>
      <c r="G56" s="370">
        <f>IF(AND('VariablesINPUT-FCC'!$E12="Cuidado infantil familiar en el hogar",'VariablesINPUT-FCC'!$F2="Licensing/Star 2"),('VariablesINPUT-FCC'!$C$39*'Subsidy rates'!$B12),
IF(AND('VariablesINPUT-FCC'!$E12="Cuidado infantil familiar en el hogar",'VariablesINPUT-FCC'!$F2="Star 2+/3"),('VariablesINPUT-FCC'!$C$39*'Subsidy rates'!$C12),
IF(AND('VariablesINPUT-FCC'!$E12="Cuidado infantil familiar en el hogar",'VariablesINPUT-FCC'!$F2="Star 4"),('VariablesINPUT-FCC'!$C$39*'Subsidy rates'!$D12),
IF(AND('VariablesINPUT-FCC'!$E12="Cuidado infantil familiar en el hogar",'VariablesINPUT-FCC'!$F2="Star 5"),('VariablesINPUT-FCC'!$C$39*'Subsidy rates'!$E12),
IF(AND('VariablesINPUT-FCC'!$E12="Casa de grupo",D1="Licensing/Star 2"),('VariablesINPUT-FCC'!$C$39*'Subsidy rates'!$B21),
IF(AND('VariablesINPUT-FCC'!$E12="Casa de grupo",D1="Star 2+/3"),('VariablesINPUT-FCC'!$C$39*'Subsidy rates'!$C21),
IF(AND('VariablesINPUT-FCC'!$E12="Casa de grupo",D1="Star 4"),('VariablesINPUT-FCC'!$C$39*'Subsidy rates'!$D21),
IF(AND('VariablesINPUT-FCC'!$E12="Casa de grupo",D1="Star 5"),('VariablesINPUT-FCC'!$C$39*'Subsidy rates'!$E21),
0))))))))</f>
        <v>0</v>
      </c>
      <c r="H56" s="370">
        <f>IF(AND('VariablesINPUT-FCC'!$E12="Cuidado infantil familiar en el hogar",'VariablesINPUT-FCC'!$F2="Licensing/Star 2"),('VariablesINPUT-FCC'!$C$40*'Subsidy rates'!$B13),
IF(AND('VariablesINPUT-FCC'!$E12="Cuidado infantil familiar en el hogar",'VariablesINPUT-FCC'!$F2="Star 2+/3"),('VariablesINPUT-FCC'!$C$40*'Subsidy rates'!$C13),
IF(AND('VariablesINPUT-FCC'!$E12="Cuidado infantil familiar en el hogar",'VariablesINPUT-FCC'!$F2="Star 4"),('VariablesINPUT-FCC'!$C$40*'Subsidy rates'!$D13),
IF(AND('VariablesINPUT-FCC'!$E12="Cuidado infantil familiar en el hogar",'VariablesINPUT-FCC'!$F2="Star 5"),('VariablesINPUT-FCC'!$C$40*'Subsidy rates'!$E13),
IF(AND('VariablesINPUT-FCC'!$E12="Casa de grupo",D1="Licensing/Star 2"),('VariablesINPUT-FCC'!$C$40*'Subsidy rates'!$B22),
IF(AND('VariablesINPUT-FCC'!$E12="Casa de grupo",D1="Star 2+/3"),('VariablesINPUT-FCC'!$C$40*'Subsidy rates'!$C22),
IF(AND('VariablesINPUT-FCC'!$E12="Casa de grupo",D1="Star 4"),('VariablesINPUT-FCC'!$C$40*'Subsidy rates'!$D22),
IF(AND('VariablesINPUT-FCC'!$E12="Casa de grupo",D1="Star 5"),('VariablesINPUT-FCC'!$C$40*'Subsidy rates'!$E22),
0))))))))</f>
        <v>0</v>
      </c>
      <c r="I56" s="370">
        <f>IF(AND('VariablesINPUT-FCC'!$E12="Cuidado infantil familiar en el hogar",'VariablesINPUT-FCC'!$F2="Licensing/Star 2"),('VariablesINPUT-FCC'!$C$40*'Subsidy rates'!$B14),
IF(AND('VariablesINPUT-FCC'!$E12="Cuidado infantil familiar en el hogar",'VariablesINPUT-FCC'!$F2="Star 2+/3"),('VariablesINPUT-FCC'!$C$40*'Subsidy rates'!$C14),
IF(AND('VariablesINPUT-FCC'!$E12="Cuidado infantil familiar en el hogar",'VariablesINPUT-FCC'!$F2="Star 4"),('VariablesINPUT-FCC'!$C$40*'Subsidy rates'!$D14),
IF(AND('VariablesINPUT-FCC'!$E12="Cuidado infantil familiar en el hogar",'VariablesINPUT-FCC'!$F2="Star 5"),('VariablesINPUT-FCC'!$C$40*'Subsidy rates'!$E14),
IF(AND('VariablesINPUT-FCC'!$E12="Casa de grupo",D1="Licensing/Star 2"),('VariablesINPUT-FCC'!$C$40*'Subsidy rates'!$B23),
IF(AND('VariablesINPUT-FCC'!$E12="Casa de grupo",D1="Star 2+/3"),('VariablesINPUT-FCC'!$C$40*'Subsidy rates'!$C23),
IF(AND('VariablesINPUT-FCC'!$E12="Casa de grupo",D1="Star 4"),('VariablesINPUT-FCC'!$C$40*'Subsidy rates'!$D23),
IF(AND('VariablesINPUT-FCC'!$E12="Casa de grupo",D1="Star 5"),('VariablesINPUT-FCC'!$C$40*'Subsidy rates'!$E23),
0))))))))</f>
        <v>0</v>
      </c>
      <c r="J56" s="370">
        <f>IF(AND('VariablesINPUT-FCC'!$E12="Cuidado infantil familiar en el hogar",'VariablesINPUT-FCC'!$F2="Licensing/Star 2"),('VariablesINPUT-FCC'!$C$40*'Subsidy rates'!$B15),
IF(AND('VariablesINPUT-FCC'!$E12="Cuidado infantil familiar en el hogar",'VariablesINPUT-FCC'!$F2="Star 2+/3"),('VariablesINPUT-FCC'!$C$40*'Subsidy rates'!$C15),
IF(AND('VariablesINPUT-FCC'!$E12="Cuidado infantil familiar en el hogar",'VariablesINPUT-FCC'!$F2="Star 4"),('VariablesINPUT-FCC'!$C$40*'Subsidy rates'!$D15),
IF(AND('VariablesINPUT-FCC'!$E12="Cuidado infantil familiar en el hogar",'VariablesINPUT-FCC'!$F2="Star 5"),('VariablesINPUT-FCC'!$C$40*'Subsidy rates'!$E15),
IF(AND('VariablesINPUT-FCC'!$E12="Casa de grupo",D1="Licensing/Star 2"),('VariablesINPUT-FCC'!$C$40*'Subsidy rates'!$B24),
IF(AND('VariablesINPUT-FCC'!$E12="Casa de grupo",D1="Star 2+/3"),('VariablesINPUT-FCC'!$C$40*'Subsidy rates'!$C24),
IF(AND('VariablesINPUT-FCC'!$E12="Casa de grupo",D1="Star 4"),('VariablesINPUT-FCC'!$C$40*'Subsidy rates'!$D24),
IF(AND('VariablesINPUT-FCC'!$E12="Casa de grupo",D1="Star 5"),('VariablesINPUT-FCC'!$C$40*'Subsidy rates'!$E24),
0))))))))</f>
        <v>0</v>
      </c>
      <c r="K56" s="5"/>
    </row>
    <row r="57" spans="1:16" customFormat="1">
      <c r="A57" s="77"/>
      <c r="B57" s="77" t="s">
        <v>162</v>
      </c>
      <c r="D57" s="271"/>
      <c r="E57" s="29"/>
    </row>
    <row r="58" spans="1:16" customFormat="1">
      <c r="A58" s="77"/>
      <c r="B58" s="270" t="s">
        <v>163</v>
      </c>
      <c r="D58" s="65">
        <f>SUM(D54:D57)</f>
        <v>36468.800000000003</v>
      </c>
      <c r="E58" s="30" t="s">
        <v>164</v>
      </c>
    </row>
    <row r="59" spans="1:16" customFormat="1">
      <c r="K59" s="2"/>
    </row>
    <row r="60" spans="1:16" customFormat="1">
      <c r="B60" s="275" t="s">
        <v>165</v>
      </c>
      <c r="E60" s="1"/>
    </row>
    <row r="61" spans="1:16" customFormat="1">
      <c r="B61" s="34" t="s">
        <v>166</v>
      </c>
      <c r="C61" s="273">
        <f>1-EnrollEffic</f>
        <v>0.15000000000000002</v>
      </c>
      <c r="D61" s="31">
        <f>C61*D58</f>
        <v>5470.3200000000015</v>
      </c>
    </row>
    <row r="62" spans="1:16" customFormat="1">
      <c r="B62" s="34" t="s">
        <v>167</v>
      </c>
      <c r="C62" s="273">
        <f>BadDebt</f>
        <v>0.03</v>
      </c>
      <c r="D62" s="274">
        <f>C62*D58</f>
        <v>1094.0640000000001</v>
      </c>
      <c r="E62" s="25">
        <f>SUM(D61:D62)</f>
        <v>6564.3840000000018</v>
      </c>
      <c r="F62" s="136">
        <f>SUM(E62-(E62*2))</f>
        <v>-6564.3840000000018</v>
      </c>
    </row>
    <row r="63" spans="1:16" customFormat="1">
      <c r="D63" s="65">
        <f>D58-D61-D62</f>
        <v>29904.416000000005</v>
      </c>
      <c r="E63" s="30" t="s">
        <v>218</v>
      </c>
      <c r="F63" s="115"/>
    </row>
    <row r="64" spans="1:16" customFormat="1">
      <c r="B64" s="77" t="s">
        <v>168</v>
      </c>
      <c r="D64" s="284">
        <f>IF('VariablesINPUT-FCC'!C15='VariablesINPUT-FCC'!F15,IF('VariablesINPUT-FCC'!C16='VariablesINPUT-FCC'!E16,D48,IF('VariablesINPUT-FCC'!C16='VariablesINPUT-FCC'!F16,(D55*C48),0)),0)</f>
        <v>0</v>
      </c>
      <c r="E64" s="30"/>
    </row>
    <row r="65" spans="1:16" customFormat="1">
      <c r="B65" s="9" t="s">
        <v>169</v>
      </c>
      <c r="D65" s="65">
        <f>SUM(D63,D64)</f>
        <v>29904.416000000005</v>
      </c>
      <c r="E65" s="30"/>
      <c r="M65" s="115"/>
      <c r="N65" s="115"/>
      <c r="O65" s="115"/>
      <c r="P65" s="115"/>
    </row>
    <row r="66" spans="1:16">
      <c r="A66" s="373"/>
      <c r="B66" s="276" t="s">
        <v>170</v>
      </c>
      <c r="C66" s="276"/>
      <c r="D66" s="277">
        <f>D65-D49</f>
        <v>-58128.643270627676</v>
      </c>
      <c r="E66" s="278">
        <f>D66/D49</f>
        <v>-0.66030470543947528</v>
      </c>
      <c r="F66" s="276" t="s">
        <v>137</v>
      </c>
    </row>
    <row r="67" spans="1:16">
      <c r="A67" s="373"/>
    </row>
    <row r="68" spans="1:16">
      <c r="A68" s="373"/>
    </row>
    <row r="69" spans="1:16">
      <c r="A69" s="373"/>
    </row>
  </sheetData>
  <mergeCells count="1">
    <mergeCell ref="B49:C49"/>
  </mergeCells>
  <conditionalFormatting sqref="E11">
    <cfRule type="containsText" dxfId="1" priority="1" operator="containsText" text="Incorrect">
      <formula>NOT(ISERROR(SEARCH("Incorrect",E11)))</formula>
    </cfRule>
  </conditionalFormatting>
  <conditionalFormatting sqref="E50">
    <cfRule type="cellIs" dxfId="0" priority="3" operator="lessThan">
      <formula>0</formula>
    </cfRule>
  </conditionalFormatting>
  <dataValidations count="1">
    <dataValidation type="list" allowBlank="1" showInputMessage="1" showErrorMessage="1" sqref="C52" xr:uid="{4BB05D2D-01FD-814F-94BF-0FB4FE9FBAAE}">
      <formula1>$D$52:$E$52</formula1>
    </dataValidation>
  </dataValidations>
  <pageMargins left="0.2" right="0.2" top="0.25" bottom="0.2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F2153-DDAE-BA49-BC39-D382CDECD0A5}">
  <sheetPr codeName="Sheet5">
    <tabColor theme="0" tint="-0.14999847407452621"/>
  </sheetPr>
  <dimension ref="A1:F32"/>
  <sheetViews>
    <sheetView zoomScale="140" workbookViewId="0">
      <selection activeCell="F64" sqref="F64"/>
    </sheetView>
  </sheetViews>
  <sheetFormatPr baseColWidth="10" defaultColWidth="11.5" defaultRowHeight="13"/>
  <cols>
    <col min="1" max="1" width="16.83203125" customWidth="1"/>
    <col min="3" max="3" width="13.5" customWidth="1"/>
  </cols>
  <sheetData>
    <row r="1" spans="1:6" s="114" customFormat="1">
      <c r="A1" s="113" t="s">
        <v>219</v>
      </c>
    </row>
    <row r="2" spans="1:6">
      <c r="B2" s="29" t="s">
        <v>2</v>
      </c>
      <c r="C2" s="29" t="s">
        <v>1</v>
      </c>
      <c r="D2" s="29" t="s">
        <v>220</v>
      </c>
      <c r="E2" s="2" t="s">
        <v>221</v>
      </c>
      <c r="F2" s="29"/>
    </row>
    <row r="3" spans="1:6">
      <c r="A3" s="29" t="s">
        <v>222</v>
      </c>
      <c r="B3">
        <v>6</v>
      </c>
      <c r="C3">
        <v>6</v>
      </c>
      <c r="D3">
        <v>5</v>
      </c>
      <c r="E3" s="2">
        <v>4</v>
      </c>
    </row>
    <row r="4" spans="1:6">
      <c r="A4" s="29" t="s">
        <v>223</v>
      </c>
      <c r="B4">
        <v>10</v>
      </c>
      <c r="C4">
        <v>10</v>
      </c>
      <c r="D4">
        <v>8</v>
      </c>
      <c r="E4" s="2">
        <v>6</v>
      </c>
    </row>
    <row r="5" spans="1:6">
      <c r="A5" s="29" t="s">
        <v>189</v>
      </c>
      <c r="B5">
        <v>12</v>
      </c>
      <c r="C5">
        <v>12</v>
      </c>
      <c r="D5">
        <v>10</v>
      </c>
      <c r="E5" s="2">
        <v>9</v>
      </c>
    </row>
    <row r="6" spans="1:6">
      <c r="A6" s="29" t="s">
        <v>190</v>
      </c>
      <c r="B6">
        <v>12</v>
      </c>
      <c r="C6">
        <v>12</v>
      </c>
      <c r="D6">
        <v>10</v>
      </c>
      <c r="E6" s="2">
        <v>10</v>
      </c>
    </row>
    <row r="7" spans="1:6">
      <c r="A7" s="29" t="s">
        <v>17</v>
      </c>
      <c r="B7">
        <v>15</v>
      </c>
      <c r="C7">
        <v>15</v>
      </c>
      <c r="D7" s="77">
        <v>12</v>
      </c>
      <c r="E7" s="245">
        <v>10</v>
      </c>
    </row>
    <row r="8" spans="1:6">
      <c r="D8" s="77"/>
      <c r="E8" s="245"/>
    </row>
    <row r="9" spans="1:6">
      <c r="A9" s="2" t="s">
        <v>224</v>
      </c>
      <c r="B9" s="29" t="s">
        <v>2</v>
      </c>
      <c r="C9" s="29" t="s">
        <v>1</v>
      </c>
      <c r="D9" s="77" t="s">
        <v>220</v>
      </c>
      <c r="E9" s="245" t="s">
        <v>221</v>
      </c>
    </row>
    <row r="10" spans="1:6">
      <c r="A10" s="29" t="s">
        <v>225</v>
      </c>
      <c r="B10" s="29">
        <v>12</v>
      </c>
      <c r="C10">
        <v>12</v>
      </c>
      <c r="D10" s="77">
        <v>10</v>
      </c>
      <c r="E10" s="245">
        <v>8</v>
      </c>
      <c r="F10" s="29"/>
    </row>
    <row r="11" spans="1:6">
      <c r="A11" s="29" t="s">
        <v>223</v>
      </c>
      <c r="B11" s="29">
        <v>20</v>
      </c>
      <c r="C11">
        <v>20</v>
      </c>
      <c r="D11" s="77">
        <v>16</v>
      </c>
      <c r="E11" s="245">
        <v>12</v>
      </c>
      <c r="F11" s="29"/>
    </row>
    <row r="12" spans="1:6">
      <c r="A12" s="29" t="s">
        <v>189</v>
      </c>
      <c r="B12" s="29">
        <v>24</v>
      </c>
      <c r="C12">
        <v>24</v>
      </c>
      <c r="D12" s="77">
        <v>20</v>
      </c>
      <c r="E12" s="245">
        <v>18</v>
      </c>
      <c r="F12" s="29"/>
    </row>
    <row r="13" spans="1:6">
      <c r="A13" s="29" t="s">
        <v>190</v>
      </c>
      <c r="B13" s="29">
        <v>24</v>
      </c>
      <c r="C13">
        <v>24</v>
      </c>
      <c r="D13" s="77">
        <v>20</v>
      </c>
      <c r="E13" s="245">
        <v>20</v>
      </c>
      <c r="F13" s="29"/>
    </row>
    <row r="14" spans="1:6">
      <c r="A14" s="29" t="s">
        <v>17</v>
      </c>
      <c r="B14" s="29">
        <v>30</v>
      </c>
      <c r="C14">
        <v>25</v>
      </c>
      <c r="D14" s="77">
        <v>24</v>
      </c>
      <c r="E14" s="245">
        <v>20</v>
      </c>
      <c r="F14" s="29"/>
    </row>
    <row r="16" spans="1:6" s="113" customFormat="1">
      <c r="A16" s="113" t="s">
        <v>226</v>
      </c>
    </row>
    <row r="17" spans="1:4" ht="35" customHeight="1">
      <c r="B17" s="203" t="s">
        <v>227</v>
      </c>
      <c r="C17" s="203" t="s">
        <v>228</v>
      </c>
      <c r="D17" s="29" t="s">
        <v>229</v>
      </c>
    </row>
    <row r="18" spans="1:4">
      <c r="A18" s="29" t="s">
        <v>230</v>
      </c>
      <c r="B18">
        <v>6</v>
      </c>
      <c r="C18">
        <v>12</v>
      </c>
      <c r="D18" s="29" t="s">
        <v>231</v>
      </c>
    </row>
    <row r="19" spans="1:4">
      <c r="A19" s="29" t="s">
        <v>425</v>
      </c>
      <c r="B19">
        <v>4</v>
      </c>
      <c r="C19">
        <v>8</v>
      </c>
    </row>
    <row r="20" spans="1:4">
      <c r="A20" s="29" t="s">
        <v>13</v>
      </c>
      <c r="B20">
        <v>2</v>
      </c>
      <c r="C20">
        <v>4</v>
      </c>
      <c r="D20">
        <v>2</v>
      </c>
    </row>
    <row r="26" spans="1:4">
      <c r="C26" s="28"/>
    </row>
    <row r="27" spans="1:4">
      <c r="C27" s="28"/>
    </row>
    <row r="28" spans="1:4">
      <c r="C28" s="28"/>
    </row>
    <row r="29" spans="1:4">
      <c r="C29" s="28"/>
    </row>
    <row r="30" spans="1:4" ht="20" customHeight="1">
      <c r="B30" s="342"/>
    </row>
    <row r="32" spans="1:4" ht="24" customHeight="1">
      <c r="B32" s="34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241F6-8027-B04A-AE54-122367FE2998}">
  <sheetPr codeName="Sheet6">
    <tabColor theme="0" tint="-0.14999847407452621"/>
  </sheetPr>
  <dimension ref="A1:P93"/>
  <sheetViews>
    <sheetView topLeftCell="A21" zoomScale="132" workbookViewId="0">
      <selection activeCell="F64" sqref="F64"/>
    </sheetView>
  </sheetViews>
  <sheetFormatPr baseColWidth="10" defaultColWidth="11.5" defaultRowHeight="13"/>
  <cols>
    <col min="1" max="1" width="23.33203125" customWidth="1"/>
    <col min="2" max="2" width="13.33203125" bestFit="1" customWidth="1"/>
    <col min="3" max="3" width="13.83203125" customWidth="1"/>
    <col min="4" max="4" width="15.5" customWidth="1"/>
    <col min="5" max="5" width="11.1640625" bestFit="1" customWidth="1"/>
    <col min="6" max="6" width="12.6640625" customWidth="1"/>
    <col min="7" max="8" width="9.6640625" customWidth="1"/>
    <col min="9" max="9" width="13.33203125" customWidth="1"/>
    <col min="10" max="10" width="18.1640625" customWidth="1"/>
    <col min="12" max="12" width="13.6640625" customWidth="1"/>
  </cols>
  <sheetData>
    <row r="1" spans="1:14" ht="14">
      <c r="A1" s="317"/>
      <c r="B1" s="22" t="s">
        <v>232</v>
      </c>
      <c r="C1" s="306"/>
      <c r="D1" s="306"/>
      <c r="E1" s="306"/>
      <c r="G1" s="306"/>
    </row>
    <row r="2" spans="1:14" s="2" customFormat="1" ht="30" customHeight="1">
      <c r="A2" s="308"/>
      <c r="B2" s="308" t="s">
        <v>38</v>
      </c>
      <c r="C2" s="325">
        <v>1.1000000000000001</v>
      </c>
      <c r="D2" s="325">
        <v>1.2</v>
      </c>
      <c r="E2" s="324" t="s">
        <v>45</v>
      </c>
      <c r="F2" s="323" t="s">
        <v>46</v>
      </c>
      <c r="G2" s="318" t="s">
        <v>233</v>
      </c>
      <c r="I2" s="2" t="s">
        <v>404</v>
      </c>
    </row>
    <row r="3" spans="1:14" ht="14">
      <c r="A3" s="305" t="s">
        <v>235</v>
      </c>
      <c r="B3" s="187">
        <v>50940</v>
      </c>
      <c r="C3" s="321">
        <f>B3*110%</f>
        <v>56034.000000000007</v>
      </c>
      <c r="D3" s="321">
        <f>B3*120%</f>
        <v>61128</v>
      </c>
      <c r="E3" s="188">
        <v>84220</v>
      </c>
      <c r="F3" s="412">
        <f>F6*$H$4</f>
        <v>106019.10542822676</v>
      </c>
      <c r="G3" s="319"/>
      <c r="H3" s="312">
        <f>SUM(B3-B6)/B6</f>
        <v>0.53618817852834744</v>
      </c>
      <c r="I3">
        <v>44965</v>
      </c>
    </row>
    <row r="4" spans="1:14" ht="14">
      <c r="A4" s="305" t="s">
        <v>236</v>
      </c>
      <c r="B4" s="187">
        <v>40752</v>
      </c>
      <c r="C4" s="321">
        <f t="shared" ref="C4:C8" si="0">B4*110%</f>
        <v>44827.200000000004</v>
      </c>
      <c r="D4" s="321">
        <f t="shared" ref="D4:D8" si="1">B4*120%</f>
        <v>48902.400000000001</v>
      </c>
      <c r="E4" s="187">
        <v>67376</v>
      </c>
      <c r="F4" s="412">
        <f>F6*$H$6</f>
        <v>84815.284342581421</v>
      </c>
      <c r="G4" s="319"/>
      <c r="H4" s="313">
        <f>SUM(1,H3)</f>
        <v>1.5361881785283473</v>
      </c>
      <c r="I4">
        <v>33629</v>
      </c>
    </row>
    <row r="5" spans="1:14" ht="15" thickBot="1">
      <c r="A5" s="305" t="s">
        <v>237</v>
      </c>
      <c r="B5" s="187">
        <v>18720</v>
      </c>
      <c r="C5" s="321">
        <f>B5*110%</f>
        <v>20592</v>
      </c>
      <c r="D5" s="321">
        <f t="shared" si="1"/>
        <v>22464</v>
      </c>
      <c r="E5" s="187">
        <v>25630</v>
      </c>
      <c r="F5" s="413">
        <f>F8</f>
        <v>49920</v>
      </c>
      <c r="G5" s="319"/>
      <c r="H5" s="312">
        <f>SUM(B4-B6)/B6</f>
        <v>0.22895054282267793</v>
      </c>
      <c r="I5">
        <v>23407</v>
      </c>
    </row>
    <row r="6" spans="1:14" ht="14">
      <c r="A6" s="308" t="s">
        <v>47</v>
      </c>
      <c r="B6" s="360">
        <v>33160</v>
      </c>
      <c r="C6" s="326">
        <f t="shared" si="0"/>
        <v>36476</v>
      </c>
      <c r="D6" s="326">
        <f>B6*120%</f>
        <v>39792</v>
      </c>
      <c r="E6" s="302">
        <v>52290</v>
      </c>
      <c r="F6" s="414">
        <f>'VariablesINPUT-CTR'!F25*2080</f>
        <v>69014.399999999994</v>
      </c>
      <c r="G6" s="320">
        <f>'VariablesINPUT-FCC'!F25*2080</f>
        <v>0</v>
      </c>
      <c r="H6" s="313">
        <f>SUM(1,H5)</f>
        <v>1.2289505428226779</v>
      </c>
      <c r="I6">
        <v>27445</v>
      </c>
      <c r="J6" s="12"/>
      <c r="L6" s="29"/>
      <c r="M6" s="205"/>
    </row>
    <row r="7" spans="1:14" ht="14">
      <c r="A7" s="305" t="s">
        <v>48</v>
      </c>
      <c r="B7" s="361">
        <v>25168</v>
      </c>
      <c r="C7" s="322">
        <f>B7*110%</f>
        <v>27684.800000000003</v>
      </c>
      <c r="D7" s="322">
        <f t="shared" si="1"/>
        <v>30201.599999999999</v>
      </c>
      <c r="E7" s="303">
        <v>37010</v>
      </c>
      <c r="F7" s="415">
        <f>'VariablesINPUT-CTR'!G25*2080</f>
        <v>49920</v>
      </c>
      <c r="G7" s="320">
        <f>'VariablesINPUT-FCC'!G25*2080</f>
        <v>0</v>
      </c>
      <c r="I7">
        <v>24197</v>
      </c>
      <c r="L7" s="29"/>
      <c r="M7" s="204"/>
      <c r="N7" s="12"/>
    </row>
    <row r="8" spans="1:14" ht="14">
      <c r="A8" s="305" t="s">
        <v>238</v>
      </c>
      <c r="B8" s="187">
        <v>18720</v>
      </c>
      <c r="C8" s="321">
        <f t="shared" si="0"/>
        <v>20592</v>
      </c>
      <c r="D8" s="321">
        <f t="shared" si="1"/>
        <v>22464</v>
      </c>
      <c r="E8" s="187">
        <v>31200</v>
      </c>
      <c r="F8" s="416">
        <f>'VariablesINPUT-CTR'!H25*2080</f>
        <v>49920</v>
      </c>
      <c r="G8" s="305"/>
      <c r="I8">
        <v>21433</v>
      </c>
    </row>
    <row r="9" spans="1:14" ht="14">
      <c r="B9" s="232"/>
      <c r="D9" s="189"/>
      <c r="E9" s="12"/>
      <c r="I9">
        <v>16980</v>
      </c>
      <c r="L9" s="29"/>
      <c r="M9" s="28"/>
    </row>
    <row r="10" spans="1:14" ht="14">
      <c r="B10" s="97"/>
      <c r="D10" s="77"/>
    </row>
    <row r="11" spans="1:14" ht="31" customHeight="1">
      <c r="A11" s="306" t="s">
        <v>239</v>
      </c>
      <c r="B11" s="306"/>
      <c r="C11" s="310"/>
      <c r="D11" s="306"/>
      <c r="F11" s="29"/>
      <c r="J11" s="203"/>
      <c r="K11" s="29"/>
    </row>
    <row r="12" spans="1:14" ht="14">
      <c r="A12" s="306">
        <v>10.5</v>
      </c>
      <c r="B12" s="317" t="s">
        <v>240</v>
      </c>
      <c r="C12" s="317" t="s">
        <v>241</v>
      </c>
      <c r="D12" s="317" t="s">
        <v>220</v>
      </c>
      <c r="E12" s="317" t="s">
        <v>221</v>
      </c>
      <c r="K12" s="29"/>
      <c r="L12" s="74"/>
    </row>
    <row r="13" spans="1:14" ht="14">
      <c r="A13" s="308"/>
      <c r="B13" s="308" t="s">
        <v>242</v>
      </c>
      <c r="C13" s="308" t="s">
        <v>38</v>
      </c>
      <c r="D13" s="309">
        <v>1.1000000000000001</v>
      </c>
      <c r="E13" s="309">
        <v>1.2</v>
      </c>
      <c r="K13" s="29"/>
      <c r="L13" s="1"/>
    </row>
    <row r="14" spans="1:14" ht="14">
      <c r="A14" s="305" t="s">
        <v>235</v>
      </c>
      <c r="B14" s="390">
        <f>I3</f>
        <v>44965</v>
      </c>
      <c r="C14" s="390">
        <f>B3</f>
        <v>50940</v>
      </c>
      <c r="D14" s="391">
        <f>C14*110%</f>
        <v>56034.000000000007</v>
      </c>
      <c r="E14" s="391">
        <f>C14*120%</f>
        <v>61128</v>
      </c>
      <c r="G14">
        <f>10.5*2080</f>
        <v>21840</v>
      </c>
      <c r="H14" s="12"/>
      <c r="I14" s="12"/>
      <c r="J14" s="12"/>
      <c r="K14" s="74"/>
      <c r="L14" s="1"/>
    </row>
    <row r="15" spans="1:14" ht="14">
      <c r="A15" s="305" t="s">
        <v>236</v>
      </c>
      <c r="B15" s="390">
        <f>I4</f>
        <v>33629</v>
      </c>
      <c r="C15" s="390">
        <f>B4</f>
        <v>40752</v>
      </c>
      <c r="D15" s="391">
        <f t="shared" ref="D15:D19" si="2">C15*110%</f>
        <v>44827.200000000004</v>
      </c>
      <c r="E15" s="391">
        <f>C15*120%</f>
        <v>48902.400000000001</v>
      </c>
      <c r="H15" s="12"/>
      <c r="I15" s="12"/>
      <c r="J15" s="12"/>
    </row>
    <row r="16" spans="1:14" ht="14">
      <c r="A16" s="305" t="s">
        <v>237</v>
      </c>
      <c r="B16" s="390">
        <v>21840</v>
      </c>
      <c r="C16" s="390">
        <f>10.5*2080</f>
        <v>21840</v>
      </c>
      <c r="D16" s="391">
        <f t="shared" si="2"/>
        <v>24024.000000000004</v>
      </c>
      <c r="E16" s="391">
        <f t="shared" ref="E16:E19" si="3">C16*120%</f>
        <v>26208</v>
      </c>
      <c r="H16" s="12"/>
      <c r="I16" s="12"/>
      <c r="J16" s="12"/>
    </row>
    <row r="17" spans="1:10" ht="14">
      <c r="A17" s="308" t="s">
        <v>47</v>
      </c>
      <c r="B17" s="390">
        <f t="shared" ref="B17" si="4">I6</f>
        <v>27445</v>
      </c>
      <c r="C17" s="390">
        <f>B6</f>
        <v>33160</v>
      </c>
      <c r="D17" s="391">
        <f t="shared" si="2"/>
        <v>36476</v>
      </c>
      <c r="E17" s="391">
        <f t="shared" si="3"/>
        <v>39792</v>
      </c>
      <c r="G17" s="207"/>
      <c r="H17" s="12"/>
      <c r="I17" s="12"/>
      <c r="J17" s="12"/>
    </row>
    <row r="18" spans="1:10" ht="14">
      <c r="A18" s="305" t="s">
        <v>48</v>
      </c>
      <c r="B18" s="390">
        <f>I7</f>
        <v>24197</v>
      </c>
      <c r="C18" s="390">
        <f>B18</f>
        <v>24197</v>
      </c>
      <c r="D18" s="391">
        <f t="shared" si="2"/>
        <v>26616.7</v>
      </c>
      <c r="E18" s="391">
        <f t="shared" si="3"/>
        <v>29036.399999999998</v>
      </c>
      <c r="G18" s="12"/>
      <c r="H18" s="12"/>
      <c r="I18" s="12"/>
      <c r="J18" s="12"/>
    </row>
    <row r="19" spans="1:10" ht="14">
      <c r="A19" s="305">
        <f>IF(D1="Licensing/Star 2",(12*A20),IF(D1="Star 2+/3",(2+((12+2.5)*A20)),IF(D1="Star 4",(3+(12+2.5)*A20),IF(D1="Star 5",(4+(12+2.5)*A20),0))))/2080</f>
        <v>0</v>
      </c>
      <c r="B19" s="390">
        <v>21840</v>
      </c>
      <c r="C19" s="390">
        <f>A12*2080</f>
        <v>21840</v>
      </c>
      <c r="D19" s="391">
        <f t="shared" si="2"/>
        <v>24024.000000000004</v>
      </c>
      <c r="E19" s="391">
        <f t="shared" si="3"/>
        <v>26208</v>
      </c>
      <c r="G19" s="12"/>
      <c r="H19" s="12"/>
      <c r="I19" s="12"/>
      <c r="J19" s="12"/>
    </row>
    <row r="20" spans="1:10" ht="14">
      <c r="A20" s="306">
        <f>SUM(A16:A18)</f>
        <v>0</v>
      </c>
      <c r="B20" s="232"/>
      <c r="D20" s="306"/>
    </row>
    <row r="21" spans="1:10" ht="14">
      <c r="A21" s="306"/>
      <c r="B21" s="417"/>
      <c r="C21" s="306"/>
      <c r="D21" s="306"/>
    </row>
    <row r="22" spans="1:10" ht="14">
      <c r="A22" s="306" t="s">
        <v>243</v>
      </c>
      <c r="B22" s="306"/>
      <c r="C22" s="307"/>
      <c r="D22" s="306"/>
    </row>
    <row r="23" spans="1:10" ht="14">
      <c r="A23" s="308">
        <v>12.1</v>
      </c>
      <c r="B23" s="317" t="s">
        <v>240</v>
      </c>
      <c r="C23" s="317" t="s">
        <v>241</v>
      </c>
      <c r="D23" s="317" t="s">
        <v>220</v>
      </c>
      <c r="E23" s="317" t="s">
        <v>221</v>
      </c>
    </row>
    <row r="24" spans="1:10" ht="14">
      <c r="A24" s="306"/>
      <c r="B24" s="308" t="s">
        <v>242</v>
      </c>
      <c r="C24" s="308" t="s">
        <v>38</v>
      </c>
      <c r="D24" s="309">
        <v>1.1000000000000001</v>
      </c>
      <c r="E24" s="309">
        <v>1.2</v>
      </c>
    </row>
    <row r="25" spans="1:10" ht="14">
      <c r="A25" s="305" t="s">
        <v>235</v>
      </c>
      <c r="B25" s="187">
        <f>I3</f>
        <v>44965</v>
      </c>
      <c r="C25" s="187">
        <f>B3</f>
        <v>50940</v>
      </c>
      <c r="D25" s="304">
        <f>C25*110%</f>
        <v>56034.000000000007</v>
      </c>
      <c r="E25" s="304">
        <f>C25*120%</f>
        <v>61128</v>
      </c>
      <c r="G25">
        <f>12.1*2080</f>
        <v>25168</v>
      </c>
    </row>
    <row r="26" spans="1:10" ht="14">
      <c r="A26" s="305" t="s">
        <v>236</v>
      </c>
      <c r="B26" s="187">
        <f t="shared" ref="B26:B28" si="5">I4</f>
        <v>33629</v>
      </c>
      <c r="C26" s="187">
        <f>B4</f>
        <v>40752</v>
      </c>
      <c r="D26" s="304">
        <f t="shared" ref="D26:D29" si="6">C26*110%</f>
        <v>44827.200000000004</v>
      </c>
      <c r="E26" s="304">
        <f t="shared" ref="E26:E29" si="7">C26*120%</f>
        <v>48902.400000000001</v>
      </c>
    </row>
    <row r="27" spans="1:10" ht="14">
      <c r="A27" s="305" t="s">
        <v>237</v>
      </c>
      <c r="B27" s="187">
        <v>25168</v>
      </c>
      <c r="C27" s="187">
        <f>A23*2080</f>
        <v>25168</v>
      </c>
      <c r="D27" s="304">
        <f t="shared" si="6"/>
        <v>27684.800000000003</v>
      </c>
      <c r="E27" s="304">
        <f>IF(Salary="BLS adj min wage",Wages!B19,IF(Salary="BLS adj $12.10",Wages!B30,
IF(Salary="Kindergarten Parity",Wages!D8,
IF(Salary="User added",Wages!E8,IF(Salary="$15 min wage",Wages!B40,
IF(Salary="$18 min wage",Wages!B50))))))</f>
        <v>31200</v>
      </c>
      <c r="H27" t="s">
        <v>399</v>
      </c>
      <c r="I27" s="398">
        <v>1.25</v>
      </c>
      <c r="J27" s="399">
        <f>C26*I27</f>
        <v>50940</v>
      </c>
    </row>
    <row r="28" spans="1:10" ht="14">
      <c r="A28" s="308" t="s">
        <v>47</v>
      </c>
      <c r="B28" s="187">
        <f t="shared" si="5"/>
        <v>27445</v>
      </c>
      <c r="C28" s="187">
        <f>B6</f>
        <v>33160</v>
      </c>
      <c r="D28" s="304">
        <f t="shared" si="6"/>
        <v>36476</v>
      </c>
      <c r="E28" s="304">
        <f t="shared" si="7"/>
        <v>39792</v>
      </c>
      <c r="F28" s="12">
        <f>B28/2080</f>
        <v>13.194711538461538</v>
      </c>
      <c r="H28" t="s">
        <v>398</v>
      </c>
      <c r="I28" s="398">
        <v>1.1710400000000001</v>
      </c>
      <c r="J28" s="399">
        <f>C28*I28</f>
        <v>38831.686400000006</v>
      </c>
    </row>
    <row r="29" spans="1:10" ht="14">
      <c r="A29" s="305" t="s">
        <v>48</v>
      </c>
      <c r="B29" s="187">
        <v>25168</v>
      </c>
      <c r="C29" s="187">
        <f>12.1*2080</f>
        <v>25168</v>
      </c>
      <c r="D29" s="304">
        <f t="shared" si="6"/>
        <v>27684.800000000003</v>
      </c>
      <c r="E29" s="304">
        <f t="shared" si="7"/>
        <v>30201.599999999999</v>
      </c>
      <c r="F29" s="12">
        <f>B29/2080</f>
        <v>12.1</v>
      </c>
      <c r="H29" t="s">
        <v>397</v>
      </c>
      <c r="I29" s="398">
        <v>1.3827</v>
      </c>
      <c r="J29" s="399">
        <f>C29*I29</f>
        <v>34799.793600000005</v>
      </c>
    </row>
    <row r="30" spans="1:10" ht="14">
      <c r="A30" s="305" t="s">
        <v>238</v>
      </c>
      <c r="B30" s="187">
        <v>25168</v>
      </c>
      <c r="C30" s="187">
        <f>A23*2080</f>
        <v>25168</v>
      </c>
      <c r="D30" s="187">
        <f>C30*110%</f>
        <v>27684.800000000003</v>
      </c>
      <c r="E30" s="187">
        <f>C30*120%</f>
        <v>30201.599999999999</v>
      </c>
    </row>
    <row r="31" spans="1:10" ht="28" customHeight="1">
      <c r="A31" s="306"/>
      <c r="B31" s="306"/>
      <c r="C31" s="311"/>
      <c r="D31" s="306"/>
      <c r="I31" s="12"/>
    </row>
    <row r="32" spans="1:10" ht="14">
      <c r="A32" s="306" t="s">
        <v>396</v>
      </c>
      <c r="B32" s="306"/>
      <c r="C32" s="307"/>
      <c r="D32" s="306"/>
      <c r="H32" s="12">
        <f>C28/2080</f>
        <v>15.942307692307692</v>
      </c>
      <c r="I32" s="12">
        <f>D28/2080</f>
        <v>17.536538461538463</v>
      </c>
      <c r="J32" s="12">
        <f>E28/2080</f>
        <v>19.130769230769232</v>
      </c>
    </row>
    <row r="33" spans="1:8" ht="14">
      <c r="A33" s="308">
        <v>15</v>
      </c>
      <c r="B33" s="317" t="s">
        <v>240</v>
      </c>
      <c r="C33" s="317" t="s">
        <v>241</v>
      </c>
      <c r="D33" s="317" t="s">
        <v>220</v>
      </c>
      <c r="E33" s="317" t="s">
        <v>221</v>
      </c>
    </row>
    <row r="34" spans="1:8" ht="14">
      <c r="A34" s="306"/>
      <c r="B34" s="308" t="s">
        <v>242</v>
      </c>
      <c r="C34" s="308" t="s">
        <v>38</v>
      </c>
      <c r="D34" s="309">
        <v>1.1000000000000001</v>
      </c>
      <c r="E34" s="309">
        <v>1.2</v>
      </c>
    </row>
    <row r="35" spans="1:8" ht="14">
      <c r="A35" s="305" t="s">
        <v>235</v>
      </c>
      <c r="B35" s="187">
        <f>C35</f>
        <v>63148.683312000001</v>
      </c>
      <c r="C35" s="187">
        <f>C36*I27</f>
        <v>63148.683312000001</v>
      </c>
      <c r="D35" s="304">
        <f t="shared" ref="D35:D40" si="8">C35*110%</f>
        <v>69463.5516432</v>
      </c>
      <c r="E35" s="304">
        <f t="shared" ref="E35:E40" si="9">C35*120%</f>
        <v>75778.419974399992</v>
      </c>
      <c r="G35">
        <f>A33*2080</f>
        <v>31200</v>
      </c>
    </row>
    <row r="36" spans="1:8" ht="14">
      <c r="A36" s="305" t="s">
        <v>236</v>
      </c>
      <c r="B36" s="187">
        <f>C36</f>
        <v>50518.946649600002</v>
      </c>
      <c r="C36" s="187">
        <f>C38*I28</f>
        <v>50518.946649600002</v>
      </c>
      <c r="D36" s="304">
        <f t="shared" si="8"/>
        <v>55570.841314560006</v>
      </c>
      <c r="E36" s="304">
        <f t="shared" si="9"/>
        <v>60622.735979520003</v>
      </c>
    </row>
    <row r="37" spans="1:8" ht="14">
      <c r="A37" s="305" t="s">
        <v>237</v>
      </c>
      <c r="B37" s="187">
        <f>G35</f>
        <v>31200</v>
      </c>
      <c r="C37" s="187">
        <f>A33*2080</f>
        <v>31200</v>
      </c>
      <c r="D37" s="304">
        <f t="shared" si="8"/>
        <v>34320</v>
      </c>
      <c r="E37" s="304">
        <f t="shared" si="9"/>
        <v>37440</v>
      </c>
    </row>
    <row r="38" spans="1:8" ht="14">
      <c r="A38" s="400" t="s">
        <v>47</v>
      </c>
      <c r="B38" s="401">
        <f>C38</f>
        <v>43140.24</v>
      </c>
      <c r="C38" s="187">
        <f>G35*I29</f>
        <v>43140.24</v>
      </c>
      <c r="D38" s="304">
        <f t="shared" si="8"/>
        <v>47454.264000000003</v>
      </c>
      <c r="E38" s="304">
        <f t="shared" si="9"/>
        <v>51768.287999999993</v>
      </c>
      <c r="F38" s="12">
        <f>B38/2080</f>
        <v>20.740499999999997</v>
      </c>
      <c r="G38" s="12">
        <f>D38/2080</f>
        <v>22.814550000000001</v>
      </c>
      <c r="H38" s="12">
        <f>E38/2080</f>
        <v>24.888599999999997</v>
      </c>
    </row>
    <row r="39" spans="1:8" ht="14">
      <c r="A39" s="305" t="s">
        <v>48</v>
      </c>
      <c r="B39" s="187">
        <f>G35</f>
        <v>31200</v>
      </c>
      <c r="C39" s="187">
        <f>G35</f>
        <v>31200</v>
      </c>
      <c r="D39" s="304">
        <f t="shared" si="8"/>
        <v>34320</v>
      </c>
      <c r="E39" s="304">
        <f>C39*120%</f>
        <v>37440</v>
      </c>
      <c r="F39" s="12">
        <f>D39/2080</f>
        <v>16.5</v>
      </c>
      <c r="G39" s="12">
        <f>E39/2080</f>
        <v>18</v>
      </c>
    </row>
    <row r="40" spans="1:8" ht="14">
      <c r="A40" s="305" t="s">
        <v>238</v>
      </c>
      <c r="B40" s="187">
        <f>G35</f>
        <v>31200</v>
      </c>
      <c r="C40" s="187">
        <f>A33*2080</f>
        <v>31200</v>
      </c>
      <c r="D40" s="187">
        <f t="shared" si="8"/>
        <v>34320</v>
      </c>
      <c r="E40" s="187">
        <f t="shared" si="9"/>
        <v>37440</v>
      </c>
    </row>
    <row r="41" spans="1:8" ht="14">
      <c r="A41" s="306"/>
      <c r="B41" s="403"/>
      <c r="C41" s="403"/>
      <c r="D41" s="403"/>
      <c r="E41" s="403"/>
    </row>
    <row r="42" spans="1:8" ht="14">
      <c r="A42" s="306" t="s">
        <v>401</v>
      </c>
      <c r="B42" s="306"/>
      <c r="C42" s="307"/>
      <c r="D42" s="306"/>
    </row>
    <row r="43" spans="1:8" ht="14">
      <c r="A43" s="308">
        <v>18</v>
      </c>
      <c r="B43" s="317" t="s">
        <v>240</v>
      </c>
      <c r="C43" s="317" t="s">
        <v>241</v>
      </c>
      <c r="D43" s="317" t="s">
        <v>220</v>
      </c>
      <c r="E43" s="317" t="s">
        <v>221</v>
      </c>
    </row>
    <row r="44" spans="1:8" ht="14">
      <c r="A44" s="306"/>
      <c r="B44" s="308" t="s">
        <v>242</v>
      </c>
      <c r="C44" s="308" t="s">
        <v>38</v>
      </c>
      <c r="D44" s="309">
        <v>1.1000000000000001</v>
      </c>
      <c r="E44" s="309">
        <v>1.2</v>
      </c>
    </row>
    <row r="45" spans="1:8" ht="14">
      <c r="A45" s="305" t="s">
        <v>235</v>
      </c>
      <c r="B45" s="187">
        <f>C45</f>
        <v>75778.419974400007</v>
      </c>
      <c r="C45" s="187">
        <f>C46*I27</f>
        <v>75778.419974400007</v>
      </c>
      <c r="D45" s="304">
        <f t="shared" ref="D45:D50" si="10">C45*110%</f>
        <v>83356.261971840009</v>
      </c>
      <c r="E45" s="304">
        <f t="shared" ref="E45:E50" si="11">C45*120%</f>
        <v>90934.103969280011</v>
      </c>
      <c r="F45" s="12">
        <f>B45/2080</f>
        <v>36.431932680000003</v>
      </c>
      <c r="G45">
        <f>A43*2080</f>
        <v>37440</v>
      </c>
    </row>
    <row r="46" spans="1:8" ht="14">
      <c r="A46" s="305" t="s">
        <v>236</v>
      </c>
      <c r="B46" s="187">
        <f>C46</f>
        <v>60622.735979520003</v>
      </c>
      <c r="C46" s="187">
        <f>C48*I28</f>
        <v>60622.735979520003</v>
      </c>
      <c r="D46" s="304">
        <f t="shared" si="10"/>
        <v>66685.00957747201</v>
      </c>
      <c r="E46" s="304">
        <f t="shared" si="11"/>
        <v>72747.283175424003</v>
      </c>
    </row>
    <row r="47" spans="1:8" ht="14">
      <c r="A47" s="305" t="s">
        <v>237</v>
      </c>
      <c r="B47" s="187">
        <f>G45</f>
        <v>37440</v>
      </c>
      <c r="C47" s="187">
        <f>A43*2080</f>
        <v>37440</v>
      </c>
      <c r="D47" s="304">
        <f t="shared" si="10"/>
        <v>41184</v>
      </c>
      <c r="E47" s="304">
        <f t="shared" si="11"/>
        <v>44928</v>
      </c>
    </row>
    <row r="48" spans="1:8" ht="14">
      <c r="A48" s="400" t="s">
        <v>47</v>
      </c>
      <c r="B48" s="401">
        <f>C48</f>
        <v>51768.288</v>
      </c>
      <c r="C48" s="187">
        <f>G45*I29</f>
        <v>51768.288</v>
      </c>
      <c r="D48" s="304">
        <f t="shared" si="10"/>
        <v>56945.116800000003</v>
      </c>
      <c r="E48" s="304">
        <f t="shared" si="11"/>
        <v>62121.945599999999</v>
      </c>
      <c r="F48" s="12">
        <f>B48/2080</f>
        <v>24.8886</v>
      </c>
    </row>
    <row r="49" spans="1:11" ht="14">
      <c r="A49" s="305" t="s">
        <v>48</v>
      </c>
      <c r="B49" s="187">
        <f>C49</f>
        <v>37440</v>
      </c>
      <c r="C49" s="187">
        <f>G45</f>
        <v>37440</v>
      </c>
      <c r="D49" s="304">
        <f t="shared" si="10"/>
        <v>41184</v>
      </c>
      <c r="E49" s="304">
        <f t="shared" si="11"/>
        <v>44928</v>
      </c>
      <c r="F49" s="12">
        <f>B49/2080</f>
        <v>18</v>
      </c>
    </row>
    <row r="50" spans="1:11" ht="14">
      <c r="A50" s="305" t="s">
        <v>238</v>
      </c>
      <c r="B50" s="187">
        <f>C50</f>
        <v>37440</v>
      </c>
      <c r="C50" s="187">
        <f>A43*2080</f>
        <v>37440</v>
      </c>
      <c r="D50" s="187">
        <f t="shared" si="10"/>
        <v>41184</v>
      </c>
      <c r="E50" s="187">
        <f t="shared" si="11"/>
        <v>44928</v>
      </c>
    </row>
    <row r="51" spans="1:11" ht="14">
      <c r="A51" s="306"/>
      <c r="B51" s="306"/>
      <c r="C51" s="311"/>
      <c r="D51" s="306"/>
    </row>
    <row r="52" spans="1:11" ht="14">
      <c r="A52" s="306"/>
      <c r="B52" s="402" t="s">
        <v>400</v>
      </c>
    </row>
    <row r="53" spans="1:11" ht="14">
      <c r="A53" s="306" t="s">
        <v>420</v>
      </c>
      <c r="B53" s="306"/>
      <c r="C53" s="307"/>
      <c r="D53" s="306"/>
    </row>
    <row r="54" spans="1:11" ht="14">
      <c r="A54" s="308">
        <v>20</v>
      </c>
      <c r="B54" s="317" t="s">
        <v>240</v>
      </c>
      <c r="C54" s="317" t="s">
        <v>241</v>
      </c>
      <c r="D54" s="317" t="s">
        <v>220</v>
      </c>
      <c r="E54" s="317" t="s">
        <v>221</v>
      </c>
    </row>
    <row r="55" spans="1:11" ht="14">
      <c r="A55" s="306"/>
      <c r="B55" s="308" t="s">
        <v>242</v>
      </c>
      <c r="C55" s="308" t="s">
        <v>38</v>
      </c>
      <c r="D55" s="309">
        <v>1.1000000000000001</v>
      </c>
      <c r="E55" s="309">
        <v>1.2</v>
      </c>
      <c r="H55" t="str">
        <f>B54</f>
        <v>Licensing/2 Star</v>
      </c>
      <c r="I55" t="str">
        <f t="shared" ref="I55:J55" si="12">C54</f>
        <v>2+/3 Star</v>
      </c>
      <c r="J55" t="str">
        <f t="shared" si="12"/>
        <v>4 Star</v>
      </c>
      <c r="K55" t="str">
        <f>E54</f>
        <v>5 Star</v>
      </c>
    </row>
    <row r="56" spans="1:11" ht="14">
      <c r="A56" s="305" t="s">
        <v>235</v>
      </c>
      <c r="B56" s="187">
        <f>C56</f>
        <v>84198.244416000001</v>
      </c>
      <c r="C56" s="187">
        <f>C57*I27</f>
        <v>84198.244416000001</v>
      </c>
      <c r="D56" s="304">
        <f t="shared" ref="D56:D61" si="13">C56*110%</f>
        <v>92618.06885760001</v>
      </c>
      <c r="E56" s="304">
        <f>C56*120%</f>
        <v>101037.8932992</v>
      </c>
      <c r="F56" s="12">
        <f>B56/2080</f>
        <v>40.479925200000004</v>
      </c>
      <c r="G56">
        <f>A54*2080</f>
        <v>41600</v>
      </c>
      <c r="H56" s="12">
        <f>B56/2080</f>
        <v>40.479925200000004</v>
      </c>
      <c r="I56" s="12">
        <f t="shared" ref="I56:K61" si="14">C56/2080</f>
        <v>40.479925200000004</v>
      </c>
      <c r="J56" s="12">
        <f t="shared" si="14"/>
        <v>44.527917720000005</v>
      </c>
      <c r="K56" s="12">
        <f t="shared" si="14"/>
        <v>48.575910239999999</v>
      </c>
    </row>
    <row r="57" spans="1:11" ht="14">
      <c r="A57" s="305" t="s">
        <v>236</v>
      </c>
      <c r="B57" s="187">
        <f>C57</f>
        <v>67358.595532799998</v>
      </c>
      <c r="C57" s="187">
        <f>C59*I28</f>
        <v>67358.595532799998</v>
      </c>
      <c r="D57" s="304">
        <f t="shared" si="13"/>
        <v>74094.455086080008</v>
      </c>
      <c r="E57" s="304">
        <f t="shared" ref="E57:E61" si="15">C57*120%</f>
        <v>80830.314639359989</v>
      </c>
      <c r="H57" s="12">
        <f t="shared" ref="H57:H61" si="16">B57/2080</f>
        <v>32.383940160000002</v>
      </c>
      <c r="I57" s="12">
        <f t="shared" si="14"/>
        <v>32.383940160000002</v>
      </c>
      <c r="J57" s="12">
        <f t="shared" si="14"/>
        <v>35.622334176000003</v>
      </c>
      <c r="K57" s="12">
        <f t="shared" si="14"/>
        <v>38.860728191999996</v>
      </c>
    </row>
    <row r="58" spans="1:11" ht="14">
      <c r="A58" s="305" t="s">
        <v>237</v>
      </c>
      <c r="B58" s="187">
        <f>G56</f>
        <v>41600</v>
      </c>
      <c r="C58" s="187">
        <f>A54*2080</f>
        <v>41600</v>
      </c>
      <c r="D58" s="304">
        <f t="shared" si="13"/>
        <v>45760.000000000007</v>
      </c>
      <c r="E58" s="304">
        <f t="shared" si="15"/>
        <v>49920</v>
      </c>
      <c r="H58" s="12">
        <f t="shared" si="16"/>
        <v>20</v>
      </c>
      <c r="I58" s="12">
        <f t="shared" si="14"/>
        <v>20</v>
      </c>
      <c r="J58" s="12">
        <f t="shared" si="14"/>
        <v>22.000000000000004</v>
      </c>
      <c r="K58" s="12">
        <f t="shared" si="14"/>
        <v>24</v>
      </c>
    </row>
    <row r="59" spans="1:11" ht="14">
      <c r="A59" s="400" t="s">
        <v>47</v>
      </c>
      <c r="B59" s="401">
        <f>C59</f>
        <v>57520.32</v>
      </c>
      <c r="C59" s="187">
        <f>G56*I29</f>
        <v>57520.32</v>
      </c>
      <c r="D59" s="304">
        <f t="shared" si="13"/>
        <v>63272.352000000006</v>
      </c>
      <c r="E59" s="304">
        <f t="shared" si="15"/>
        <v>69024.383999999991</v>
      </c>
      <c r="F59" s="12">
        <f>B59/2080</f>
        <v>27.654</v>
      </c>
      <c r="H59" s="12">
        <f t="shared" si="16"/>
        <v>27.654</v>
      </c>
      <c r="I59" s="12">
        <f t="shared" si="14"/>
        <v>27.654</v>
      </c>
      <c r="J59" s="12">
        <f t="shared" si="14"/>
        <v>30.419400000000003</v>
      </c>
      <c r="K59" s="12">
        <f t="shared" si="14"/>
        <v>33.184799999999996</v>
      </c>
    </row>
    <row r="60" spans="1:11" ht="14">
      <c r="A60" s="305" t="s">
        <v>48</v>
      </c>
      <c r="B60" s="187">
        <f>C60</f>
        <v>41600</v>
      </c>
      <c r="C60" s="187">
        <f>G56</f>
        <v>41600</v>
      </c>
      <c r="D60" s="304">
        <f t="shared" si="13"/>
        <v>45760.000000000007</v>
      </c>
      <c r="E60" s="304">
        <f t="shared" si="15"/>
        <v>49920</v>
      </c>
      <c r="F60" s="12">
        <v>20</v>
      </c>
      <c r="H60" s="12">
        <f t="shared" si="16"/>
        <v>20</v>
      </c>
      <c r="I60" s="12">
        <f t="shared" si="14"/>
        <v>20</v>
      </c>
      <c r="J60" s="12">
        <f t="shared" si="14"/>
        <v>22.000000000000004</v>
      </c>
      <c r="K60" s="12">
        <f t="shared" si="14"/>
        <v>24</v>
      </c>
    </row>
    <row r="61" spans="1:11" ht="14">
      <c r="A61" s="305" t="s">
        <v>238</v>
      </c>
      <c r="B61" s="187">
        <f>C61</f>
        <v>41600</v>
      </c>
      <c r="C61" s="187">
        <f>A54*2080</f>
        <v>41600</v>
      </c>
      <c r="D61" s="187">
        <f t="shared" si="13"/>
        <v>45760.000000000007</v>
      </c>
      <c r="E61" s="187">
        <f t="shared" si="15"/>
        <v>49920</v>
      </c>
      <c r="H61" s="12">
        <f t="shared" si="16"/>
        <v>20</v>
      </c>
      <c r="I61" s="12">
        <f t="shared" si="14"/>
        <v>20</v>
      </c>
      <c r="J61" s="12">
        <f t="shared" si="14"/>
        <v>22.000000000000004</v>
      </c>
      <c r="K61" s="12">
        <f t="shared" si="14"/>
        <v>24</v>
      </c>
    </row>
    <row r="62" spans="1:11" ht="14">
      <c r="A62" s="306"/>
    </row>
    <row r="64" spans="1:11">
      <c r="A64" s="29" t="s">
        <v>234</v>
      </c>
    </row>
    <row r="65" spans="1:16">
      <c r="A65" s="29"/>
      <c r="B65" s="29" t="s">
        <v>244</v>
      </c>
      <c r="C65" s="29" t="s">
        <v>220</v>
      </c>
      <c r="D65" s="29" t="s">
        <v>221</v>
      </c>
      <c r="E65" s="29" t="s">
        <v>245</v>
      </c>
      <c r="F65" s="39" t="s">
        <v>246</v>
      </c>
      <c r="G65" s="29" t="s">
        <v>247</v>
      </c>
      <c r="H65" s="29" t="s">
        <v>248</v>
      </c>
      <c r="I65" s="29" t="s">
        <v>220</v>
      </c>
      <c r="J65" s="29" t="s">
        <v>221</v>
      </c>
      <c r="K65" s="29" t="s">
        <v>249</v>
      </c>
      <c r="L65" s="29" t="s">
        <v>250</v>
      </c>
      <c r="M65" s="29" t="s">
        <v>251</v>
      </c>
      <c r="N65" s="29" t="s">
        <v>252</v>
      </c>
      <c r="O65" s="29" t="s">
        <v>253</v>
      </c>
    </row>
    <row r="66" spans="1:16">
      <c r="A66" s="75" t="s">
        <v>235</v>
      </c>
      <c r="B66" s="29">
        <v>43666</v>
      </c>
      <c r="C66" s="29">
        <v>38017</v>
      </c>
      <c r="D66" s="29">
        <v>50266</v>
      </c>
      <c r="E66" s="29">
        <v>48543</v>
      </c>
      <c r="F66" s="38">
        <v>37500</v>
      </c>
      <c r="G66">
        <v>48341</v>
      </c>
      <c r="H66">
        <v>33202</v>
      </c>
      <c r="I66">
        <v>38017</v>
      </c>
      <c r="J66">
        <v>50266</v>
      </c>
      <c r="K66">
        <v>48248</v>
      </c>
      <c r="L66">
        <v>47243</v>
      </c>
      <c r="M66">
        <v>43938</v>
      </c>
      <c r="N66">
        <v>48756</v>
      </c>
      <c r="O66">
        <v>39331</v>
      </c>
      <c r="P66" s="28">
        <f>SUM(N66-O66)/O66</f>
        <v>0.23963285957641556</v>
      </c>
    </row>
    <row r="67" spans="1:16">
      <c r="A67" s="75" t="s">
        <v>236</v>
      </c>
      <c r="B67" s="29">
        <v>33173</v>
      </c>
      <c r="C67" s="29">
        <v>28267</v>
      </c>
      <c r="D67" s="29">
        <v>39051</v>
      </c>
      <c r="E67" s="29">
        <v>32153</v>
      </c>
      <c r="F67" s="38">
        <v>34000</v>
      </c>
      <c r="G67">
        <v>20000</v>
      </c>
      <c r="H67">
        <v>31020</v>
      </c>
      <c r="I67">
        <v>28267</v>
      </c>
      <c r="J67">
        <v>39501</v>
      </c>
      <c r="K67">
        <v>33561</v>
      </c>
      <c r="L67">
        <v>31693</v>
      </c>
      <c r="M67">
        <v>34221</v>
      </c>
      <c r="N67">
        <v>34656</v>
      </c>
      <c r="O67">
        <v>25141</v>
      </c>
      <c r="P67" s="28">
        <f>SUM(N67-O67)/O67</f>
        <v>0.3784654548347321</v>
      </c>
    </row>
    <row r="68" spans="1:16">
      <c r="A68" s="75" t="s">
        <v>237</v>
      </c>
      <c r="B68" s="29"/>
      <c r="C68" s="29"/>
      <c r="D68" s="29"/>
      <c r="E68" s="29"/>
      <c r="F68" s="38"/>
    </row>
    <row r="69" spans="1:16">
      <c r="A69" s="206" t="s">
        <v>254</v>
      </c>
      <c r="B69" s="29">
        <v>12.41</v>
      </c>
      <c r="C69" s="29">
        <v>10.8</v>
      </c>
      <c r="D69" s="29">
        <v>13.11</v>
      </c>
      <c r="E69" s="29">
        <v>14.34</v>
      </c>
      <c r="F69" s="38">
        <v>11.38</v>
      </c>
      <c r="G69">
        <v>11.68</v>
      </c>
      <c r="H69">
        <v>13.07</v>
      </c>
      <c r="I69">
        <v>10.8</v>
      </c>
      <c r="J69">
        <v>13.11</v>
      </c>
      <c r="K69">
        <v>13.41</v>
      </c>
      <c r="L69">
        <v>13.66</v>
      </c>
      <c r="M69">
        <v>12.09</v>
      </c>
      <c r="N69">
        <v>13</v>
      </c>
      <c r="O69">
        <v>11.91</v>
      </c>
      <c r="P69" s="28">
        <f t="shared" ref="P69:P76" si="17">SUM(N69-O69)/O69</f>
        <v>9.1519731318219971E-2</v>
      </c>
    </row>
    <row r="70" spans="1:16">
      <c r="A70" s="206" t="s">
        <v>255</v>
      </c>
      <c r="B70" s="29">
        <v>11.6</v>
      </c>
      <c r="C70" s="29">
        <v>11.35</v>
      </c>
      <c r="D70" s="29">
        <v>12.6</v>
      </c>
      <c r="E70" s="29">
        <v>15.41</v>
      </c>
      <c r="F70" s="38">
        <v>11.38</v>
      </c>
      <c r="G70">
        <v>11.82</v>
      </c>
      <c r="H70">
        <v>11.4</v>
      </c>
      <c r="I70">
        <v>11.35</v>
      </c>
      <c r="J70">
        <v>12.6</v>
      </c>
      <c r="K70">
        <v>14.12</v>
      </c>
      <c r="L70">
        <v>14.26</v>
      </c>
      <c r="M70">
        <v>11.79</v>
      </c>
      <c r="N70">
        <v>13.62</v>
      </c>
      <c r="O70">
        <v>11.19</v>
      </c>
      <c r="P70" s="28">
        <f t="shared" si="17"/>
        <v>0.21715817694369971</v>
      </c>
    </row>
    <row r="71" spans="1:16">
      <c r="A71" s="206" t="s">
        <v>256</v>
      </c>
      <c r="B71" s="29">
        <v>13.58</v>
      </c>
      <c r="C71" s="29">
        <v>12.73</v>
      </c>
      <c r="D71" s="29">
        <v>16.190000000000001</v>
      </c>
      <c r="E71" s="29">
        <v>16.260000000000002</v>
      </c>
      <c r="F71" s="38">
        <v>11.38</v>
      </c>
      <c r="G71">
        <v>14.05</v>
      </c>
      <c r="H71">
        <v>13.04</v>
      </c>
      <c r="I71">
        <v>12.73</v>
      </c>
      <c r="J71">
        <v>16.190000000000001</v>
      </c>
      <c r="K71">
        <v>14.67</v>
      </c>
      <c r="L71">
        <v>14.56</v>
      </c>
      <c r="M71">
        <v>14.06</v>
      </c>
      <c r="N71">
        <v>15.08</v>
      </c>
      <c r="O71">
        <v>12.9</v>
      </c>
      <c r="P71" s="28">
        <f t="shared" si="17"/>
        <v>0.16899224806201549</v>
      </c>
    </row>
    <row r="72" spans="1:16">
      <c r="A72" s="206" t="s">
        <v>257</v>
      </c>
      <c r="B72" s="29">
        <v>12.32</v>
      </c>
      <c r="C72" s="29">
        <v>10.7</v>
      </c>
      <c r="D72" s="29">
        <v>12.05</v>
      </c>
      <c r="E72" s="29">
        <v>13.61</v>
      </c>
      <c r="F72" s="38">
        <v>11.38</v>
      </c>
      <c r="G72">
        <v>11.92</v>
      </c>
      <c r="H72">
        <v>13.08</v>
      </c>
      <c r="I72">
        <v>10.7</v>
      </c>
      <c r="J72">
        <v>12.05</v>
      </c>
      <c r="K72">
        <v>12.04</v>
      </c>
      <c r="L72">
        <v>13.19</v>
      </c>
      <c r="M72">
        <v>11.64</v>
      </c>
      <c r="N72">
        <v>12.52</v>
      </c>
      <c r="O72">
        <v>11.65</v>
      </c>
      <c r="P72" s="28">
        <f t="shared" si="17"/>
        <v>7.4678111587982765E-2</v>
      </c>
    </row>
    <row r="73" spans="1:16">
      <c r="A73" s="75" t="s">
        <v>258</v>
      </c>
      <c r="B73" s="29">
        <v>10.93</v>
      </c>
      <c r="C73" s="29">
        <v>10.44</v>
      </c>
      <c r="D73" s="29">
        <v>10.7</v>
      </c>
      <c r="E73" s="29">
        <v>12.03</v>
      </c>
      <c r="F73" s="38"/>
      <c r="G73">
        <v>11.06</v>
      </c>
      <c r="H73">
        <v>10.89</v>
      </c>
      <c r="I73">
        <v>10.44</v>
      </c>
      <c r="J73">
        <v>10.7</v>
      </c>
      <c r="K73">
        <v>12.02</v>
      </c>
      <c r="L73">
        <v>12.02</v>
      </c>
      <c r="M73">
        <v>10.69</v>
      </c>
      <c r="N73">
        <v>11.65</v>
      </c>
      <c r="O73">
        <v>10.96</v>
      </c>
      <c r="P73" s="28">
        <f t="shared" si="17"/>
        <v>6.2956204379561995E-2</v>
      </c>
    </row>
    <row r="74" spans="1:16">
      <c r="A74" s="75" t="s">
        <v>259</v>
      </c>
      <c r="B74" s="29">
        <v>11.52</v>
      </c>
      <c r="C74" s="29">
        <v>10.17</v>
      </c>
      <c r="D74" s="29">
        <v>10.8</v>
      </c>
      <c r="E74" s="29">
        <v>12.31</v>
      </c>
      <c r="F74" s="38"/>
      <c r="G74">
        <v>12.96</v>
      </c>
      <c r="H74">
        <v>10.89</v>
      </c>
      <c r="I74">
        <v>10.17</v>
      </c>
      <c r="J74">
        <v>10.8</v>
      </c>
      <c r="K74">
        <v>11.56</v>
      </c>
      <c r="L74">
        <v>11.65</v>
      </c>
      <c r="M74">
        <v>10.97</v>
      </c>
      <c r="N74">
        <v>11.89</v>
      </c>
      <c r="O74">
        <v>10.31</v>
      </c>
      <c r="P74" s="28">
        <f t="shared" si="17"/>
        <v>0.15324927255092144</v>
      </c>
    </row>
    <row r="75" spans="1:16">
      <c r="A75" s="75" t="s">
        <v>260</v>
      </c>
      <c r="B75" s="29">
        <v>13.19</v>
      </c>
      <c r="C75" s="29">
        <v>11.3</v>
      </c>
      <c r="D75" s="29">
        <v>13.18</v>
      </c>
      <c r="E75" s="29">
        <v>12.82</v>
      </c>
      <c r="F75" s="38"/>
      <c r="G75">
        <v>12.18</v>
      </c>
      <c r="H75">
        <v>11.55</v>
      </c>
      <c r="I75">
        <v>11.3</v>
      </c>
      <c r="J75">
        <v>13.18</v>
      </c>
      <c r="K75">
        <v>12.34</v>
      </c>
      <c r="L75">
        <v>11.59</v>
      </c>
      <c r="M75">
        <v>12.74</v>
      </c>
      <c r="N75">
        <v>13.48</v>
      </c>
      <c r="O75">
        <v>10.54</v>
      </c>
      <c r="P75" s="28">
        <f t="shared" si="17"/>
        <v>0.27893738140417473</v>
      </c>
    </row>
    <row r="76" spans="1:16">
      <c r="A76" s="75" t="s">
        <v>261</v>
      </c>
      <c r="B76" s="29">
        <v>11.54</v>
      </c>
      <c r="C76" s="29">
        <v>10.4</v>
      </c>
      <c r="D76" s="29">
        <v>10</v>
      </c>
      <c r="E76" s="29">
        <v>12.01</v>
      </c>
      <c r="G76">
        <v>10.01</v>
      </c>
      <c r="H76">
        <v>14.35</v>
      </c>
      <c r="I76">
        <v>10.4</v>
      </c>
      <c r="J76">
        <v>10</v>
      </c>
      <c r="K76">
        <v>11.38</v>
      </c>
      <c r="L76">
        <v>11.5</v>
      </c>
      <c r="M76">
        <v>10.95</v>
      </c>
      <c r="N76">
        <v>11.5</v>
      </c>
      <c r="O76">
        <v>10.81</v>
      </c>
      <c r="P76" s="28">
        <f t="shared" si="17"/>
        <v>6.3829787234042507E-2</v>
      </c>
    </row>
    <row r="77" spans="1:16">
      <c r="A77" s="75"/>
      <c r="B77" s="29"/>
      <c r="C77" s="29"/>
      <c r="D77" s="29"/>
      <c r="O77" s="28"/>
    </row>
    <row r="78" spans="1:16">
      <c r="B78" s="29" t="s">
        <v>262</v>
      </c>
      <c r="C78" s="29"/>
      <c r="D78" s="29"/>
      <c r="E78" s="29"/>
      <c r="L78" s="28"/>
    </row>
    <row r="79" spans="1:16">
      <c r="A79" s="75" t="s">
        <v>235</v>
      </c>
      <c r="B79" s="204">
        <f>SUM(D66-B66)/B66</f>
        <v>0.151147345761004</v>
      </c>
      <c r="J79" s="28">
        <f>SUM(N70-N69)/N69</f>
        <v>4.7692307692307631E-2</v>
      </c>
      <c r="L79" s="208" t="s">
        <v>263</v>
      </c>
    </row>
    <row r="80" spans="1:16">
      <c r="A80" s="75" t="s">
        <v>236</v>
      </c>
      <c r="B80" s="204">
        <f>SUM(D67-B67)/B67</f>
        <v>0.17719229493865493</v>
      </c>
      <c r="I80" s="29"/>
      <c r="J80" s="28">
        <f>SUM(N71-N70)/N70</f>
        <v>0.10719530102790022</v>
      </c>
      <c r="L80" s="28"/>
    </row>
    <row r="81" spans="1:10">
      <c r="A81" s="75" t="s">
        <v>237</v>
      </c>
      <c r="B81" s="204"/>
      <c r="I81" s="29"/>
      <c r="J81" s="28">
        <f t="shared" ref="J81:J84" si="18">SUM(N72-N71)/N71</f>
        <v>-0.16976127320954909</v>
      </c>
    </row>
    <row r="82" spans="1:10">
      <c r="A82" s="206" t="s">
        <v>254</v>
      </c>
      <c r="B82" s="204">
        <f t="shared" ref="B82:B89" si="19">SUM(D69-B69)/B69</f>
        <v>5.6406124093472947E-2</v>
      </c>
      <c r="I82" s="29"/>
      <c r="J82" s="28">
        <f t="shared" si="18"/>
        <v>-6.9488817891373747E-2</v>
      </c>
    </row>
    <row r="83" spans="1:10">
      <c r="A83" s="206" t="s">
        <v>255</v>
      </c>
      <c r="B83" s="204">
        <f t="shared" si="19"/>
        <v>8.6206896551724144E-2</v>
      </c>
      <c r="J83" s="28">
        <f t="shared" si="18"/>
        <v>2.060085836909873E-2</v>
      </c>
    </row>
    <row r="84" spans="1:10">
      <c r="A84" s="206" t="s">
        <v>256</v>
      </c>
      <c r="B84" s="204">
        <f t="shared" si="19"/>
        <v>0.19219440353460981</v>
      </c>
      <c r="J84" s="28">
        <f t="shared" si="18"/>
        <v>0.13372582001682085</v>
      </c>
    </row>
    <row r="85" spans="1:10">
      <c r="A85" s="206" t="s">
        <v>257</v>
      </c>
      <c r="B85" s="204">
        <f t="shared" si="19"/>
        <v>-2.1915584415584381E-2</v>
      </c>
    </row>
    <row r="86" spans="1:10">
      <c r="A86" s="75" t="s">
        <v>258</v>
      </c>
      <c r="B86" s="204">
        <f t="shared" si="19"/>
        <v>-2.1043000914913124E-2</v>
      </c>
    </row>
    <row r="87" spans="1:10">
      <c r="A87" s="75" t="s">
        <v>259</v>
      </c>
      <c r="B87" s="204">
        <f t="shared" si="19"/>
        <v>-6.2499999999999903E-2</v>
      </c>
    </row>
    <row r="88" spans="1:10">
      <c r="A88" s="75" t="s">
        <v>260</v>
      </c>
      <c r="B88" s="204">
        <f t="shared" si="19"/>
        <v>-7.581501137225009E-4</v>
      </c>
    </row>
    <row r="89" spans="1:10">
      <c r="A89" s="75" t="s">
        <v>261</v>
      </c>
      <c r="B89" s="204">
        <f t="shared" si="19"/>
        <v>-0.13344887348353546</v>
      </c>
    </row>
    <row r="91" spans="1:10">
      <c r="A91" t="s">
        <v>264</v>
      </c>
    </row>
    <row r="92" spans="1:10">
      <c r="A92" s="29" t="s">
        <v>265</v>
      </c>
      <c r="B92" t="s">
        <v>266</v>
      </c>
      <c r="C92" t="s">
        <v>267</v>
      </c>
      <c r="D92" s="29" t="s">
        <v>47</v>
      </c>
      <c r="E92" s="29" t="s">
        <v>268</v>
      </c>
    </row>
    <row r="93" spans="1:10" ht="14">
      <c r="A93" s="359">
        <v>49110</v>
      </c>
      <c r="B93" s="359">
        <v>49110</v>
      </c>
      <c r="C93" s="359">
        <v>27290</v>
      </c>
      <c r="D93" s="359">
        <v>34800</v>
      </c>
      <c r="E93" s="359">
        <v>23800</v>
      </c>
    </row>
  </sheetData>
  <hyperlinks>
    <hyperlink ref="B1" r:id="rId1" xr:uid="{CA49E0EA-045C-E048-9182-EFA59CFF1728}"/>
  </hyperlinks>
  <pageMargins left="0.7" right="0.7" top="0.75" bottom="0.75" header="0.3" footer="0.3"/>
  <ignoredErrors>
    <ignoredError sqref="C27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0" tint="-0.14999847407452621"/>
  </sheetPr>
  <dimension ref="A1:Z61"/>
  <sheetViews>
    <sheetView zoomScale="130" zoomScaleNormal="130" workbookViewId="0">
      <selection activeCell="F64" sqref="F64"/>
    </sheetView>
  </sheetViews>
  <sheetFormatPr baseColWidth="10" defaultColWidth="8.83203125" defaultRowHeight="13"/>
  <cols>
    <col min="1" max="1" width="32.1640625" customWidth="1"/>
    <col min="2" max="2" width="13.6640625" style="38" customWidth="1"/>
    <col min="3" max="3" width="11.6640625" customWidth="1"/>
    <col min="4" max="5" width="15.1640625" customWidth="1"/>
    <col min="6" max="6" width="11.1640625" customWidth="1"/>
    <col min="7" max="7" width="10.5" customWidth="1"/>
    <col min="8" max="8" width="4" customWidth="1"/>
    <col min="9" max="9" width="15.83203125" customWidth="1"/>
    <col min="10" max="10" width="10.1640625" bestFit="1" customWidth="1"/>
    <col min="11" max="11" width="17.1640625" customWidth="1"/>
    <col min="12" max="12" width="12.6640625" bestFit="1" customWidth="1"/>
    <col min="13" max="13" width="13.83203125" customWidth="1"/>
    <col min="14" max="14" width="13" customWidth="1"/>
    <col min="15" max="15" width="10.6640625" customWidth="1"/>
    <col min="16" max="16" width="23" customWidth="1"/>
    <col min="17" max="17" width="11.5" bestFit="1" customWidth="1"/>
    <col min="18" max="20" width="10.5" bestFit="1" customWidth="1"/>
    <col min="21" max="21" width="11.5" bestFit="1" customWidth="1"/>
    <col min="22" max="24" width="10.5" bestFit="1" customWidth="1"/>
    <col min="25" max="25" width="11.5" bestFit="1" customWidth="1"/>
    <col min="26" max="26" width="10.5" bestFit="1" customWidth="1"/>
  </cols>
  <sheetData>
    <row r="1" spans="1:26" ht="29.25" customHeight="1">
      <c r="A1" s="2"/>
      <c r="B1" s="45" t="s">
        <v>269</v>
      </c>
      <c r="C1" s="46" t="s">
        <v>270</v>
      </c>
      <c r="D1" s="203" t="s">
        <v>407</v>
      </c>
      <c r="E1" s="203" t="s">
        <v>408</v>
      </c>
      <c r="F1" s="404" t="s">
        <v>418</v>
      </c>
      <c r="G1" s="29"/>
      <c r="H1" s="46"/>
      <c r="I1" s="2" t="s">
        <v>271</v>
      </c>
      <c r="J1" s="46" t="s">
        <v>272</v>
      </c>
      <c r="K1" s="404" t="s">
        <v>418</v>
      </c>
      <c r="L1" s="46" t="s">
        <v>273</v>
      </c>
      <c r="M1" s="46" t="s">
        <v>274</v>
      </c>
    </row>
    <row r="2" spans="1:26">
      <c r="A2" s="29" t="s">
        <v>275</v>
      </c>
      <c r="B2" s="39">
        <f>'VariablesINPUT-CTR'!C13</f>
        <v>110</v>
      </c>
      <c r="C2" s="29"/>
      <c r="E2">
        <v>65</v>
      </c>
      <c r="F2" s="405">
        <v>0.14799999999999999</v>
      </c>
      <c r="G2" s="67"/>
      <c r="H2" s="29"/>
      <c r="K2" s="405">
        <v>0.14799999999999999</v>
      </c>
      <c r="L2" s="29"/>
      <c r="M2" s="29"/>
    </row>
    <row r="3" spans="1:26">
      <c r="A3" s="29" t="s">
        <v>83</v>
      </c>
      <c r="B3" s="290">
        <f>'VariablesINPUT-CTR'!G13</f>
        <v>5</v>
      </c>
      <c r="C3" s="29"/>
      <c r="D3">
        <v>5.19</v>
      </c>
      <c r="E3">
        <v>6</v>
      </c>
      <c r="F3" s="402"/>
      <c r="H3" s="29"/>
      <c r="L3" s="29"/>
      <c r="M3" s="29"/>
    </row>
    <row r="4" spans="1:26" ht="24" customHeight="1">
      <c r="A4" s="6" t="s">
        <v>276</v>
      </c>
      <c r="C4" s="29"/>
      <c r="F4" s="402"/>
      <c r="H4" s="29"/>
      <c r="I4" s="30" t="s">
        <v>277</v>
      </c>
      <c r="J4" s="29">
        <v>148.80000000000001</v>
      </c>
      <c r="K4" s="434">
        <f>SUM(J4,(J4*$K$2))</f>
        <v>170.82240000000002</v>
      </c>
      <c r="M4">
        <v>800</v>
      </c>
      <c r="N4" s="392">
        <f>M4/6</f>
        <v>133.33333333333334</v>
      </c>
      <c r="Q4" s="170"/>
    </row>
    <row r="5" spans="1:26" s="40" customFormat="1">
      <c r="A5" s="47" t="s">
        <v>278</v>
      </c>
      <c r="B5" s="85"/>
      <c r="C5" s="78"/>
      <c r="D5"/>
      <c r="E5"/>
      <c r="F5" s="402"/>
      <c r="G5"/>
      <c r="H5" s="29"/>
      <c r="I5" s="29" t="s">
        <v>279</v>
      </c>
      <c r="J5" s="29">
        <v>247.99</v>
      </c>
      <c r="K5" s="434">
        <f t="shared" ref="K5:K17" si="0">SUM(J5,(J5*$K$2))</f>
        <v>284.69252</v>
      </c>
      <c r="L5" s="29"/>
      <c r="M5">
        <v>3609</v>
      </c>
      <c r="N5" s="392">
        <f t="shared" ref="N5:N17" si="1">M5/6</f>
        <v>601.5</v>
      </c>
      <c r="O5"/>
      <c r="P5"/>
      <c r="Q5"/>
      <c r="R5"/>
      <c r="S5"/>
      <c r="T5"/>
      <c r="U5"/>
      <c r="V5"/>
      <c r="W5"/>
      <c r="X5"/>
      <c r="Y5"/>
    </row>
    <row r="6" spans="1:26">
      <c r="A6" s="84" t="s">
        <v>280</v>
      </c>
      <c r="B6" s="42">
        <f>SUM(30)*B2</f>
        <v>3300</v>
      </c>
      <c r="C6" s="31"/>
      <c r="E6" s="29">
        <f>SUM(1515.12)</f>
        <v>1515.12</v>
      </c>
      <c r="F6" s="406">
        <f>SUM(E6,(E6*$F$2))</f>
        <v>1739.3577599999999</v>
      </c>
      <c r="G6" s="209"/>
      <c r="H6" s="31"/>
      <c r="I6" s="29" t="s">
        <v>281</v>
      </c>
      <c r="J6">
        <v>297.58999999999997</v>
      </c>
      <c r="K6" s="434">
        <f t="shared" si="0"/>
        <v>341.63331999999997</v>
      </c>
      <c r="L6" s="7"/>
      <c r="M6" s="31">
        <v>688</v>
      </c>
      <c r="N6" s="392">
        <f t="shared" si="1"/>
        <v>114.66666666666667</v>
      </c>
    </row>
    <row r="7" spans="1:26">
      <c r="A7" s="48" t="s">
        <v>282</v>
      </c>
      <c r="B7" s="42">
        <v>1428</v>
      </c>
      <c r="C7" s="31" t="s">
        <v>35</v>
      </c>
      <c r="E7">
        <v>1240.3900000000001</v>
      </c>
      <c r="F7" s="406">
        <f t="shared" ref="F7:F18" si="2">SUM(E7,(E7*$F$2))</f>
        <v>1423.9677200000001</v>
      </c>
      <c r="G7" s="209"/>
      <c r="H7" s="31"/>
      <c r="I7" s="29" t="s">
        <v>283</v>
      </c>
      <c r="J7">
        <v>446.39</v>
      </c>
      <c r="K7" s="434">
        <f t="shared" si="0"/>
        <v>512.45571999999993</v>
      </c>
      <c r="L7" s="7"/>
      <c r="M7" s="31">
        <v>1878</v>
      </c>
      <c r="N7" s="392">
        <f t="shared" si="1"/>
        <v>313</v>
      </c>
    </row>
    <row r="8" spans="1:26">
      <c r="A8" s="48" t="s">
        <v>284</v>
      </c>
      <c r="B8" s="42">
        <f>SUM(74.4*B2)</f>
        <v>8184.0000000000009</v>
      </c>
      <c r="C8" s="31" t="s">
        <v>35</v>
      </c>
      <c r="E8">
        <v>1834.99</v>
      </c>
      <c r="F8" s="406">
        <f t="shared" si="2"/>
        <v>2106.5685199999998</v>
      </c>
      <c r="G8" s="209"/>
      <c r="H8" s="190"/>
      <c r="I8" s="31" t="s">
        <v>285</v>
      </c>
      <c r="J8">
        <v>120</v>
      </c>
      <c r="K8" s="434">
        <f t="shared" si="0"/>
        <v>137.76</v>
      </c>
      <c r="L8" s="31"/>
      <c r="M8" s="31">
        <v>280</v>
      </c>
      <c r="N8" s="392">
        <f t="shared" si="1"/>
        <v>46.666666666666664</v>
      </c>
    </row>
    <row r="9" spans="1:26">
      <c r="A9" s="48" t="s">
        <v>286</v>
      </c>
      <c r="B9" s="42">
        <v>2976</v>
      </c>
      <c r="C9" s="31" t="s">
        <v>35</v>
      </c>
      <c r="E9">
        <v>1397.91</v>
      </c>
      <c r="F9" s="406">
        <f t="shared" si="2"/>
        <v>1604.8006800000001</v>
      </c>
      <c r="G9" s="209"/>
      <c r="H9" s="31"/>
      <c r="I9" s="31" t="s">
        <v>287</v>
      </c>
      <c r="J9">
        <v>595.17999999999995</v>
      </c>
      <c r="K9" s="434">
        <f t="shared" si="0"/>
        <v>683.26663999999994</v>
      </c>
      <c r="L9" s="31"/>
      <c r="M9" s="31">
        <v>1344</v>
      </c>
      <c r="N9" s="392">
        <f t="shared" si="1"/>
        <v>224</v>
      </c>
    </row>
    <row r="10" spans="1:26">
      <c r="A10" s="48" t="s">
        <v>288</v>
      </c>
      <c r="B10" s="42">
        <v>496</v>
      </c>
      <c r="C10" s="31" t="s">
        <v>35</v>
      </c>
      <c r="E10">
        <v>89.79</v>
      </c>
      <c r="F10" s="406">
        <f t="shared" si="2"/>
        <v>103.07892000000001</v>
      </c>
      <c r="G10" s="209"/>
      <c r="H10" s="31"/>
      <c r="I10" s="31" t="s">
        <v>289</v>
      </c>
      <c r="J10">
        <v>178.55</v>
      </c>
      <c r="K10" s="434">
        <f t="shared" si="0"/>
        <v>204.97540000000001</v>
      </c>
      <c r="L10" s="31"/>
      <c r="M10" s="393">
        <v>3988</v>
      </c>
      <c r="N10" s="392">
        <f t="shared" si="1"/>
        <v>664.66666666666663</v>
      </c>
    </row>
    <row r="11" spans="1:26">
      <c r="A11" s="48"/>
      <c r="C11" s="31"/>
      <c r="E11">
        <v>133.59</v>
      </c>
      <c r="F11" s="406">
        <f t="shared" si="2"/>
        <v>153.36132000000001</v>
      </c>
      <c r="G11" s="209"/>
      <c r="H11" s="31"/>
      <c r="I11" s="31" t="s">
        <v>290</v>
      </c>
      <c r="J11">
        <v>238.07</v>
      </c>
      <c r="K11" s="434">
        <f t="shared" si="0"/>
        <v>273.30435999999997</v>
      </c>
      <c r="L11" s="31"/>
      <c r="M11" s="393">
        <v>9836</v>
      </c>
      <c r="N11" s="392">
        <f t="shared" si="1"/>
        <v>1639.3333333333333</v>
      </c>
    </row>
    <row r="12" spans="1:26" ht="14">
      <c r="A12" s="48"/>
      <c r="B12" s="39"/>
      <c r="C12" s="31"/>
      <c r="E12">
        <v>60.21</v>
      </c>
      <c r="F12" s="406">
        <f t="shared" si="2"/>
        <v>69.121080000000006</v>
      </c>
      <c r="G12" s="209"/>
      <c r="H12" s="31"/>
      <c r="I12" s="31" t="s">
        <v>61</v>
      </c>
      <c r="J12">
        <v>446.39</v>
      </c>
      <c r="K12" s="434">
        <f>SUM(J12,(J12*$K$2))</f>
        <v>512.45571999999993</v>
      </c>
      <c r="L12" s="171"/>
      <c r="M12" s="31">
        <f>SUM(4247,2317)</f>
        <v>6564</v>
      </c>
      <c r="N12" s="392">
        <f t="shared" si="1"/>
        <v>1094</v>
      </c>
    </row>
    <row r="13" spans="1:26">
      <c r="A13" s="50"/>
      <c r="C13" s="29"/>
      <c r="E13">
        <v>343.34</v>
      </c>
      <c r="F13" s="406">
        <f t="shared" si="2"/>
        <v>394.15431999999998</v>
      </c>
      <c r="G13" s="209"/>
      <c r="H13" s="29"/>
      <c r="I13" s="31" t="s">
        <v>291</v>
      </c>
      <c r="J13">
        <v>4761.46</v>
      </c>
      <c r="K13" s="434">
        <f>SUM(J13,(J13*$K$2))</f>
        <v>5466.1560799999997</v>
      </c>
      <c r="M13" s="31">
        <v>15354</v>
      </c>
      <c r="N13" s="392">
        <f t="shared" si="1"/>
        <v>2559</v>
      </c>
    </row>
    <row r="14" spans="1:26" s="40" customFormat="1">
      <c r="E14">
        <v>226.59</v>
      </c>
      <c r="F14" s="406">
        <f t="shared" si="2"/>
        <v>260.12531999999999</v>
      </c>
      <c r="G14" s="209"/>
      <c r="H14"/>
      <c r="I14" s="31" t="s">
        <v>292</v>
      </c>
      <c r="J14">
        <v>892.77</v>
      </c>
      <c r="K14" s="434">
        <f t="shared" si="0"/>
        <v>1024.89996</v>
      </c>
      <c r="L14" s="29"/>
      <c r="M14" s="31">
        <v>959</v>
      </c>
      <c r="N14" s="392">
        <f t="shared" si="1"/>
        <v>159.83333333333334</v>
      </c>
      <c r="O14"/>
      <c r="P14"/>
      <c r="Q14" s="29"/>
      <c r="R14" s="81"/>
      <c r="S14"/>
      <c r="T14"/>
      <c r="U14"/>
      <c r="V14"/>
      <c r="W14"/>
      <c r="X14"/>
      <c r="Y14"/>
    </row>
    <row r="15" spans="1:26">
      <c r="A15" s="47" t="s">
        <v>141</v>
      </c>
      <c r="B15" s="41"/>
      <c r="C15" s="40"/>
      <c r="D15" s="29" t="s">
        <v>97</v>
      </c>
      <c r="F15" s="406"/>
      <c r="G15" s="29"/>
      <c r="H15" s="11"/>
      <c r="I15" s="31" t="s">
        <v>293</v>
      </c>
      <c r="J15">
        <v>250</v>
      </c>
      <c r="K15" s="434">
        <f t="shared" si="0"/>
        <v>287</v>
      </c>
      <c r="L15" s="7"/>
      <c r="M15" s="7">
        <v>484</v>
      </c>
      <c r="N15" s="392">
        <f t="shared" si="1"/>
        <v>80.666666666666671</v>
      </c>
      <c r="P15" s="29"/>
      <c r="Q15" s="7"/>
      <c r="R15" s="81"/>
      <c r="S15" s="7"/>
      <c r="T15" s="7"/>
      <c r="U15" s="7"/>
      <c r="V15" s="7"/>
      <c r="W15" s="7"/>
      <c r="X15" s="7"/>
      <c r="Y15" s="7"/>
      <c r="Z15" s="7"/>
    </row>
    <row r="16" spans="1:26" ht="14">
      <c r="A16" s="49" t="s">
        <v>294</v>
      </c>
      <c r="B16" s="42">
        <f>SUM(35*B2*13.54)</f>
        <v>52129</v>
      </c>
      <c r="C16" s="31" t="s">
        <v>35</v>
      </c>
      <c r="D16" s="11">
        <v>45306</v>
      </c>
      <c r="E16" s="11">
        <v>69604</v>
      </c>
      <c r="F16" s="406">
        <f t="shared" si="2"/>
        <v>79905.391999999993</v>
      </c>
      <c r="G16" s="209"/>
      <c r="H16" s="20"/>
      <c r="I16" s="29" t="s">
        <v>295</v>
      </c>
      <c r="J16">
        <v>99.2</v>
      </c>
      <c r="K16" s="434">
        <f t="shared" si="0"/>
        <v>113.88160000000001</v>
      </c>
      <c r="L16" s="7"/>
      <c r="M16" s="7">
        <v>19</v>
      </c>
      <c r="N16" s="392">
        <f t="shared" si="1"/>
        <v>3.1666666666666665</v>
      </c>
      <c r="P16" s="29"/>
      <c r="Q16" s="33"/>
      <c r="R16" s="81"/>
      <c r="S16" s="33"/>
      <c r="T16" s="33"/>
      <c r="U16" s="33"/>
      <c r="V16" s="33"/>
      <c r="W16" s="33"/>
      <c r="X16" s="33"/>
      <c r="Y16" s="33"/>
      <c r="Z16" s="33"/>
    </row>
    <row r="17" spans="1:26">
      <c r="A17" s="8" t="s">
        <v>296</v>
      </c>
      <c r="B17" s="42">
        <f>SUM(2.17,1.33)*(35*B2)</f>
        <v>13475</v>
      </c>
      <c r="C17" s="31" t="s">
        <v>35</v>
      </c>
      <c r="D17" s="11">
        <v>14478</v>
      </c>
      <c r="E17" s="11">
        <v>35885</v>
      </c>
      <c r="F17" s="406">
        <f t="shared" si="2"/>
        <v>41195.979999999996</v>
      </c>
      <c r="G17" s="209"/>
      <c r="H17" s="191"/>
      <c r="I17" s="31" t="s">
        <v>297</v>
      </c>
      <c r="J17">
        <v>99.2</v>
      </c>
      <c r="K17" s="434">
        <f t="shared" si="0"/>
        <v>113.88160000000001</v>
      </c>
      <c r="L17" s="29"/>
      <c r="M17" s="393">
        <v>2917</v>
      </c>
      <c r="N17" s="392">
        <f t="shared" si="1"/>
        <v>486.16666666666669</v>
      </c>
      <c r="Q17" s="29"/>
      <c r="R17" s="81"/>
    </row>
    <row r="18" spans="1:26">
      <c r="A18" s="8" t="s">
        <v>298</v>
      </c>
      <c r="B18" s="42">
        <f>SUM(35*B2*2.83)</f>
        <v>10895.5</v>
      </c>
      <c r="C18" s="31" t="s">
        <v>35</v>
      </c>
      <c r="D18" s="11">
        <f>SUM(35*B2*2.83)</f>
        <v>10895.5</v>
      </c>
      <c r="E18" s="11">
        <v>16586</v>
      </c>
      <c r="F18" s="406">
        <f t="shared" si="2"/>
        <v>19040.727999999999</v>
      </c>
      <c r="G18" s="209"/>
      <c r="H18" s="31"/>
      <c r="I18" s="31" t="s">
        <v>299</v>
      </c>
      <c r="K18" s="29"/>
      <c r="L18" s="31"/>
      <c r="M18" s="31"/>
      <c r="Q18" s="29"/>
    </row>
    <row r="19" spans="1:26" s="40" customFormat="1">
      <c r="A19" s="8">
        <f>IF(D1="Licensing/Star 2",(12*A20),IF(D1="Star 2+/3",(2+((12+2.5)*A20)),IF(D1="Star 4",(3+(12+2.5)*A20),IF(D1="Star 5",(4+(12+2.5)*A20),0))))/2080</f>
        <v>0</v>
      </c>
      <c r="B19" s="42"/>
      <c r="C19" s="31"/>
      <c r="D19"/>
      <c r="E19"/>
      <c r="F19" s="406"/>
      <c r="G19" s="29"/>
      <c r="H19" s="31"/>
      <c r="K19" s="29"/>
      <c r="N19"/>
      <c r="O19"/>
      <c r="P19" s="29"/>
      <c r="Q19" s="7"/>
      <c r="R19" s="7"/>
      <c r="S19" s="7"/>
      <c r="T19" s="7"/>
      <c r="U19" s="7"/>
      <c r="V19" s="7"/>
      <c r="W19" s="7"/>
      <c r="X19" s="7"/>
      <c r="Y19" s="7"/>
      <c r="Z19" s="107"/>
    </row>
    <row r="20" spans="1:26">
      <c r="A20" s="47">
        <f>SUM(A16:A18)</f>
        <v>0</v>
      </c>
      <c r="B20" s="82"/>
      <c r="C20" s="83"/>
      <c r="E20" s="11"/>
      <c r="F20" s="406"/>
      <c r="G20" s="29"/>
      <c r="H20" s="7"/>
      <c r="I20" s="31" t="s">
        <v>300</v>
      </c>
      <c r="J20" s="31">
        <v>11903.64</v>
      </c>
      <c r="K20" s="434">
        <f t="shared" ref="K20:K24" si="3">SUM(J20,(J20*$K$2))</f>
        <v>13665.378719999999</v>
      </c>
      <c r="L20" s="31">
        <f>927.28*12</f>
        <v>11127.36</v>
      </c>
      <c r="M20">
        <v>11164</v>
      </c>
      <c r="P20" s="29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>
      <c r="A21" s="8" t="s">
        <v>301</v>
      </c>
      <c r="B21" s="42">
        <f>SUM(992,49.6)*B2</f>
        <v>114575.99999999999</v>
      </c>
      <c r="C21" s="7"/>
      <c r="E21" s="11">
        <v>618.04</v>
      </c>
      <c r="F21" s="406">
        <f>SUM(B21,(B21*$F$2))</f>
        <v>131533.24799999999</v>
      </c>
      <c r="G21" s="209"/>
      <c r="H21" s="7"/>
      <c r="I21" s="31" t="s">
        <v>284</v>
      </c>
      <c r="J21" s="31">
        <v>669.58</v>
      </c>
      <c r="K21" s="434">
        <f t="shared" si="3"/>
        <v>768.67784000000006</v>
      </c>
      <c r="L21" s="7"/>
      <c r="M21" s="172">
        <v>571</v>
      </c>
      <c r="R21" s="81"/>
    </row>
    <row r="22" spans="1:26">
      <c r="A22" s="8" t="s">
        <v>302</v>
      </c>
      <c r="B22" s="42">
        <f>SUM(100)*B2</f>
        <v>11000</v>
      </c>
      <c r="C22" s="7"/>
      <c r="E22" s="11">
        <v>482.67</v>
      </c>
      <c r="F22" s="406">
        <f t="shared" ref="F22:F26" si="4">SUM(B22,(B22*$F$2))</f>
        <v>12628</v>
      </c>
      <c r="G22" s="209"/>
      <c r="H22" s="190"/>
      <c r="I22" s="31" t="s">
        <v>303</v>
      </c>
      <c r="J22" s="31">
        <v>495.99</v>
      </c>
      <c r="K22" s="434">
        <f t="shared" si="3"/>
        <v>569.39652000000001</v>
      </c>
      <c r="L22" s="7"/>
      <c r="M22" s="172">
        <v>6300</v>
      </c>
      <c r="R22" s="81"/>
    </row>
    <row r="23" spans="1:26">
      <c r="A23" s="8" t="s">
        <v>304</v>
      </c>
      <c r="B23" s="42">
        <f>22*B2</f>
        <v>2420</v>
      </c>
      <c r="C23" s="31"/>
      <c r="E23" s="11">
        <v>71.38</v>
      </c>
      <c r="F23" s="406">
        <f t="shared" si="4"/>
        <v>2778.16</v>
      </c>
      <c r="G23" s="209"/>
      <c r="H23" s="31"/>
      <c r="I23" s="7" t="s">
        <v>305</v>
      </c>
      <c r="J23" s="7">
        <v>1785.55</v>
      </c>
      <c r="K23" s="434">
        <f t="shared" si="3"/>
        <v>2049.8114</v>
      </c>
      <c r="L23" s="29">
        <f>586.24*12</f>
        <v>7034.88</v>
      </c>
      <c r="M23">
        <v>3474</v>
      </c>
      <c r="P23" s="25"/>
    </row>
    <row r="24" spans="1:26">
      <c r="A24" s="8" t="s">
        <v>306</v>
      </c>
      <c r="B24" s="42">
        <f>50*B2</f>
        <v>5500</v>
      </c>
      <c r="C24" s="31"/>
      <c r="E24" s="11">
        <v>47.77</v>
      </c>
      <c r="F24" s="406">
        <f t="shared" si="4"/>
        <v>6314</v>
      </c>
      <c r="G24" s="209"/>
      <c r="H24" s="31"/>
      <c r="I24" s="7" t="s">
        <v>307</v>
      </c>
      <c r="J24" s="7">
        <v>238.07</v>
      </c>
      <c r="K24" s="434">
        <f t="shared" si="3"/>
        <v>273.30435999999997</v>
      </c>
      <c r="L24" s="29"/>
      <c r="M24">
        <v>1519</v>
      </c>
      <c r="P24" s="25"/>
    </row>
    <row r="25" spans="1:26">
      <c r="A25" s="8" t="s">
        <v>308</v>
      </c>
      <c r="B25" s="42">
        <f>24*B2</f>
        <v>2640</v>
      </c>
      <c r="C25" s="31"/>
      <c r="F25" s="406">
        <f>SUM(B25,(B25*$F$2))</f>
        <v>3030.72</v>
      </c>
      <c r="G25" s="209"/>
      <c r="H25" s="31"/>
      <c r="I25" s="180" t="s">
        <v>97</v>
      </c>
      <c r="J25" s="31">
        <f>SUM(J20:J24)</f>
        <v>15092.829999999998</v>
      </c>
      <c r="K25" s="31">
        <f>SUM(K20:K24)</f>
        <v>17326.568839999996</v>
      </c>
      <c r="L25" s="25">
        <f>SUM(L20,J21:J22,L23,J24)</f>
        <v>19565.88</v>
      </c>
      <c r="M25" s="31">
        <f>SUM(M20:M24)</f>
        <v>23028</v>
      </c>
      <c r="P25" s="25"/>
    </row>
    <row r="26" spans="1:26">
      <c r="A26" s="8" t="s">
        <v>277</v>
      </c>
      <c r="B26" s="98">
        <f>24.8*B2</f>
        <v>2728</v>
      </c>
      <c r="C26" s="31"/>
      <c r="F26" s="406">
        <f t="shared" si="4"/>
        <v>3131.7440000000001</v>
      </c>
      <c r="G26" s="209"/>
      <c r="H26" s="7"/>
    </row>
    <row r="27" spans="1:26">
      <c r="A27" s="283">
        <f>SUM(E7:E10)*F13</f>
        <v>1798557.6945055998</v>
      </c>
      <c r="B27" s="42"/>
      <c r="C27" s="7"/>
      <c r="E27" s="11"/>
      <c r="F27" s="406"/>
      <c r="H27" s="7"/>
      <c r="I27" s="173" t="s">
        <v>309</v>
      </c>
      <c r="J27" s="174">
        <v>75</v>
      </c>
      <c r="K27" s="174">
        <f>J27</f>
        <v>75</v>
      </c>
      <c r="L27" s="174">
        <v>75</v>
      </c>
      <c r="M27">
        <v>75</v>
      </c>
    </row>
    <row r="28" spans="1:26">
      <c r="A28" s="8">
        <f>(IF(E1="Licensing/Star 2",0,
IF(E1="Star 2+/3",SUM(2,(2.5*A23+A25)),
IF(E1="Star 4",SUM(3,(2.5*SUM(A23:A26))),
IF(E1="Star 5",SUM(4,(3.5*SUM(A23:A26))))))))*52/2080</f>
        <v>0</v>
      </c>
      <c r="B28" s="42"/>
      <c r="C28" s="7"/>
      <c r="E28" s="340">
        <f>F61</f>
        <v>417.04314182194616</v>
      </c>
      <c r="F28" s="406"/>
      <c r="H28" s="179"/>
      <c r="I28" s="175" t="s">
        <v>310</v>
      </c>
      <c r="J28" s="176">
        <v>1200</v>
      </c>
      <c r="K28" s="174">
        <f t="shared" ref="K28:K29" si="5">J28</f>
        <v>1200</v>
      </c>
      <c r="L28" s="176">
        <v>1200</v>
      </c>
      <c r="M28">
        <v>1200</v>
      </c>
    </row>
    <row r="29" spans="1:26" s="40" customFormat="1">
      <c r="A29" s="8"/>
      <c r="B29" s="42"/>
      <c r="C29" s="31"/>
      <c r="D29"/>
      <c r="E29"/>
      <c r="F29" s="406"/>
      <c r="G29"/>
      <c r="H29" s="31"/>
      <c r="I29" s="175" t="s">
        <v>311</v>
      </c>
      <c r="J29" s="176">
        <v>2400</v>
      </c>
      <c r="K29" s="174">
        <f t="shared" si="5"/>
        <v>2400</v>
      </c>
      <c r="L29" s="176">
        <v>2400</v>
      </c>
      <c r="M29" s="31">
        <v>2400</v>
      </c>
      <c r="N29"/>
      <c r="O29"/>
      <c r="P29"/>
      <c r="Q29"/>
      <c r="R29"/>
      <c r="S29"/>
      <c r="T29"/>
      <c r="U29"/>
      <c r="V29"/>
      <c r="W29"/>
    </row>
    <row r="30" spans="1:26">
      <c r="A30" s="47" t="s">
        <v>312</v>
      </c>
      <c r="B30" s="41"/>
      <c r="C30" s="83"/>
      <c r="F30" s="406"/>
      <c r="H30" s="31"/>
      <c r="I30" s="177" t="s">
        <v>313</v>
      </c>
      <c r="J30" s="178">
        <f>SUM(J27/(24*7)*(J28/J29))</f>
        <v>0.22321428571428573</v>
      </c>
      <c r="K30" s="178">
        <f>SUM(K27/(24*7)*(K28/K29))</f>
        <v>0.22321428571428573</v>
      </c>
      <c r="L30" s="178">
        <f>SUM(L27/(24*7)*(L28/L29))</f>
        <v>0.22321428571428573</v>
      </c>
      <c r="M30" s="178">
        <f>SUM(M27/(24*7)*(M28/M29))</f>
        <v>0.22321428571428573</v>
      </c>
    </row>
    <row r="31" spans="1:26">
      <c r="A31" s="8" t="s">
        <v>314</v>
      </c>
      <c r="C31" s="31"/>
      <c r="F31" s="406">
        <f t="shared" ref="F31:F33" si="6">SUM(E31,(E31*$F$2))</f>
        <v>0</v>
      </c>
      <c r="G31" s="209"/>
      <c r="H31" s="31"/>
      <c r="I31" s="31"/>
      <c r="J31" s="31"/>
      <c r="K31" s="31"/>
      <c r="L31" s="65"/>
      <c r="M31" s="31"/>
    </row>
    <row r="32" spans="1:26">
      <c r="A32" s="8" t="s">
        <v>293</v>
      </c>
      <c r="B32" s="42">
        <f>200*'Quality Center Profile'!E12</f>
        <v>2000</v>
      </c>
      <c r="C32" s="31"/>
      <c r="E32">
        <v>82.37</v>
      </c>
      <c r="F32" s="406">
        <f>SUM(B32,(B32*$F$2))</f>
        <v>2296</v>
      </c>
      <c r="G32" s="209"/>
      <c r="H32" s="31"/>
      <c r="I32" s="31" t="s">
        <v>315</v>
      </c>
      <c r="J32" s="31">
        <f>SUM(J4:J18)</f>
        <v>8821.590000000002</v>
      </c>
      <c r="K32" s="31">
        <f>SUM(K4:K18)</f>
        <v>10127.185320000002</v>
      </c>
      <c r="L32" s="31">
        <f>SUM(L4:L17)</f>
        <v>0</v>
      </c>
      <c r="M32" s="31">
        <f>SUM(M4:M18)</f>
        <v>48720</v>
      </c>
    </row>
    <row r="33" spans="1:16">
      <c r="A33" s="8"/>
      <c r="B33" s="39"/>
      <c r="C33" s="31"/>
      <c r="E33">
        <v>15.65</v>
      </c>
      <c r="F33" s="406">
        <f t="shared" si="6"/>
        <v>17.966200000000001</v>
      </c>
      <c r="G33" s="209"/>
      <c r="H33" s="31"/>
      <c r="I33" s="31" t="s">
        <v>316</v>
      </c>
      <c r="J33" s="31">
        <f>J25*J30</f>
        <v>3368.9352678571427</v>
      </c>
      <c r="K33" s="31">
        <f>K25*K30</f>
        <v>3867.5376874999993</v>
      </c>
      <c r="L33" s="31">
        <f>L25*L30</f>
        <v>4367.3839285714294</v>
      </c>
      <c r="M33" s="31">
        <f>M25*M30</f>
        <v>5140.1785714285716</v>
      </c>
    </row>
    <row r="34" spans="1:16">
      <c r="A34" s="5"/>
      <c r="B34" s="39"/>
      <c r="C34" s="31"/>
      <c r="E34">
        <f>24*(A29-A20-A27-A28)</f>
        <v>-43165384.668134391</v>
      </c>
      <c r="F34" s="402"/>
      <c r="H34" s="25"/>
      <c r="I34" s="16"/>
      <c r="J34" s="16"/>
      <c r="K34" s="16"/>
      <c r="L34" s="16"/>
      <c r="M34" s="16"/>
    </row>
    <row r="35" spans="1:16">
      <c r="A35" s="6" t="s">
        <v>317</v>
      </c>
      <c r="B35" s="43">
        <f>SUM(B6:B33)</f>
        <v>233747.5</v>
      </c>
      <c r="C35" s="43">
        <f>SUM(B7:B10,B16:B18)</f>
        <v>89583.5</v>
      </c>
      <c r="F35" s="402"/>
      <c r="H35" s="11"/>
      <c r="I35" s="15" t="s">
        <v>318</v>
      </c>
      <c r="J35" s="11">
        <f>SUM(J32:J33)</f>
        <v>12190.525267857145</v>
      </c>
      <c r="K35" s="11">
        <f>SUM(K32:K33)</f>
        <v>13994.723007500001</v>
      </c>
      <c r="L35" s="11"/>
      <c r="M35" s="11"/>
    </row>
    <row r="36" spans="1:16">
      <c r="A36" s="29" t="s">
        <v>319</v>
      </c>
      <c r="B36" s="44">
        <f>B35/B3</f>
        <v>46749.5</v>
      </c>
      <c r="C36" s="112">
        <f>C35/B35</f>
        <v>0.38324901870608241</v>
      </c>
      <c r="F36" s="402"/>
      <c r="H36" s="11"/>
      <c r="I36" s="11"/>
      <c r="J36" s="11"/>
      <c r="K36" s="11"/>
      <c r="L36" s="11"/>
      <c r="M36" s="11"/>
    </row>
    <row r="37" spans="1:16" ht="14" thickBot="1">
      <c r="A37" s="29" t="s">
        <v>217</v>
      </c>
      <c r="B37" s="44">
        <f>B35/B2</f>
        <v>2124.9772727272725</v>
      </c>
      <c r="C37" s="11"/>
      <c r="F37" s="402"/>
      <c r="H37" s="29"/>
      <c r="I37" s="29"/>
      <c r="J37" s="29"/>
      <c r="K37" s="29"/>
      <c r="M37" s="12"/>
      <c r="N37" s="12"/>
    </row>
    <row r="38" spans="1:16" ht="15" thickTop="1" thickBot="1">
      <c r="C38" s="29"/>
      <c r="F38" s="402"/>
      <c r="G38" s="432"/>
      <c r="H38" s="29"/>
      <c r="I38" s="53" t="s">
        <v>320</v>
      </c>
      <c r="J38" s="54">
        <f>SUM((SUM(J4,J5,J6,J7,J8,J9,J10,J11,J14,J16,J17)/6)*F2,SUM(J4,J5,J6,J7,J8,J9,J10,J11,J14,J16,J17)/6)</f>
        <v>643.59558666666658</v>
      </c>
      <c r="K38" s="54">
        <f>SUM((SUM(K4,K5,K6,K7,K8,K9,K10,K11,K14,K16,K17)/6)*G2,SUM(K4,K5,K6,K7,K8,K9,K10,K11,K14,K16,K17)/6)</f>
        <v>643.59558666666669</v>
      </c>
      <c r="L38" s="12">
        <f>M38/6</f>
        <v>386.17416666666668</v>
      </c>
      <c r="M38" s="54">
        <f>SUM(M4,M5,M6,M7,M8,M9,M10,M14,M16,J17,J11)/6</f>
        <v>2317.0450000000001</v>
      </c>
      <c r="N38" s="54"/>
      <c r="P38" s="28"/>
    </row>
    <row r="39" spans="1:16" ht="14" thickTop="1">
      <c r="A39" s="53" t="s">
        <v>321</v>
      </c>
      <c r="B39" s="54">
        <f>SUM(B6:B10)/B2</f>
        <v>148.94545454545454</v>
      </c>
      <c r="C39" s="31">
        <f>B39*80</f>
        <v>11915.636363636364</v>
      </c>
      <c r="E39" s="202">
        <f>SUM(E6:E14)/E2</f>
        <v>105.26046153846154</v>
      </c>
      <c r="F39" s="407">
        <f>SUM(F6:F14)/E2</f>
        <v>120.83900984615384</v>
      </c>
      <c r="G39" s="433"/>
      <c r="H39" s="29"/>
      <c r="I39" s="55" t="s">
        <v>141</v>
      </c>
      <c r="J39" s="56">
        <f>SUM((L33/6)*F2,(L33/6))</f>
        <v>835.62612500000012</v>
      </c>
      <c r="K39" s="56">
        <f>SUM((M33/6)*K2,(M33/6))</f>
        <v>983.48749999999995</v>
      </c>
      <c r="L39" s="12">
        <f>J39*12</f>
        <v>10027.513500000001</v>
      </c>
      <c r="M39" s="57">
        <f>SUM((M33*F2),M33)</f>
        <v>5900.9250000000002</v>
      </c>
      <c r="N39" s="12"/>
      <c r="P39" s="28"/>
    </row>
    <row r="40" spans="1:16">
      <c r="A40" s="55" t="s">
        <v>322</v>
      </c>
      <c r="B40" s="56" cm="1">
        <f t="array" ref="B40">SUM((B16:B18)/B3)</f>
        <v>15299.9</v>
      </c>
      <c r="C40" s="31">
        <f>B40*4</f>
        <v>61199.6</v>
      </c>
      <c r="D40" s="202">
        <f>SUM(D16:D18)/D3</f>
        <v>13618.400770712908</v>
      </c>
      <c r="E40" s="202">
        <f>SUM(E16:E18)/E3</f>
        <v>20345.833333333332</v>
      </c>
      <c r="F40" s="407">
        <f>SUM(F16:F18)/E3</f>
        <v>23357.016666666663</v>
      </c>
      <c r="G40" s="433"/>
      <c r="H40" s="29"/>
      <c r="I40" s="55" t="s">
        <v>323</v>
      </c>
      <c r="J40" s="57">
        <f>SUM((SUM(J13,J12,J15)/6)*F2,((SUM(J13,J12,J15)/6)))</f>
        <v>1044.2686333333334</v>
      </c>
      <c r="K40" s="57">
        <f>SUM((SUM(K13,K12,K15)/6)*K2,((SUM(K13,K12,K15)/6)))</f>
        <v>1198.8203910666666</v>
      </c>
      <c r="L40" s="12">
        <f>J40*12</f>
        <v>12531.223600000001</v>
      </c>
      <c r="M40" s="57">
        <f>SUM(M13,M12,M15)</f>
        <v>22402</v>
      </c>
      <c r="N40" s="12"/>
      <c r="P40" s="28"/>
    </row>
    <row r="41" spans="1:16" ht="14" thickBot="1">
      <c r="A41" s="55" t="s">
        <v>324</v>
      </c>
      <c r="B41" s="410">
        <f>SUM(B21:B26,B32)/B2</f>
        <v>1280.5818181818181</v>
      </c>
      <c r="C41" s="31">
        <f>B41*80</f>
        <v>102446.54545454544</v>
      </c>
      <c r="E41" s="76">
        <f>SUM(E21:E27,E31:E33)</f>
        <v>1317.88</v>
      </c>
      <c r="F41" s="407">
        <f>SUM(F21:F26,F31:F33)/B2</f>
        <v>1470.2712563636364</v>
      </c>
      <c r="G41" s="433"/>
      <c r="I41" s="58"/>
      <c r="J41" s="59" t="s">
        <v>325</v>
      </c>
      <c r="K41" s="408"/>
      <c r="M41" s="59"/>
      <c r="N41" s="12"/>
    </row>
    <row r="42" spans="1:16" ht="15" thickTop="1" thickBot="1">
      <c r="A42" s="58"/>
      <c r="B42" s="59" t="s">
        <v>326</v>
      </c>
      <c r="F42" s="402"/>
      <c r="M42" s="25">
        <f>M40-M15</f>
        <v>21918</v>
      </c>
    </row>
    <row r="43" spans="1:16" ht="14" thickTop="1">
      <c r="A43" s="29"/>
      <c r="M43" s="20"/>
      <c r="N43" s="20"/>
    </row>
    <row r="44" spans="1:16">
      <c r="A44" s="29"/>
      <c r="B44" s="20"/>
      <c r="C44">
        <v>1325</v>
      </c>
      <c r="D44">
        <f>C44*14.8%</f>
        <v>196.10000000000002</v>
      </c>
      <c r="E44">
        <f>SUM(C44:D44)</f>
        <v>1521.1</v>
      </c>
      <c r="I44">
        <f>250/6</f>
        <v>41.666666666666664</v>
      </c>
    </row>
    <row r="45" spans="1:16">
      <c r="A45" s="29"/>
      <c r="B45" s="44"/>
      <c r="J45" s="25">
        <f>J40*6-J15</f>
        <v>6015.6118000000006</v>
      </c>
      <c r="K45" s="25"/>
    </row>
    <row r="46" spans="1:16" ht="14" thickBot="1">
      <c r="A46" s="29"/>
      <c r="B46" s="44"/>
      <c r="C46" s="29"/>
      <c r="H46" s="30"/>
      <c r="J46" s="12">
        <f>J45/6</f>
        <v>1002.6019666666667</v>
      </c>
      <c r="K46" s="12"/>
    </row>
    <row r="47" spans="1:16" ht="14" thickBot="1">
      <c r="A47" s="29"/>
      <c r="B47" s="44"/>
      <c r="H47" s="25"/>
      <c r="I47" s="108"/>
      <c r="J47" s="111"/>
      <c r="K47" s="2"/>
    </row>
    <row r="48" spans="1:16">
      <c r="A48" s="108"/>
      <c r="B48" s="111"/>
      <c r="H48" s="25"/>
      <c r="I48" s="181"/>
      <c r="J48" s="110"/>
      <c r="K48" s="7"/>
    </row>
    <row r="49" spans="1:13">
      <c r="A49" s="109" t="s">
        <v>327</v>
      </c>
      <c r="B49" s="110">
        <f>'VariablesINPUT-CTR'!D32*'VariablesINPUT-CTR'!F32*12</f>
        <v>0</v>
      </c>
      <c r="H49" s="25"/>
      <c r="I49" s="181"/>
      <c r="J49" s="182"/>
      <c r="K49" s="409"/>
      <c r="L49" s="29"/>
    </row>
    <row r="50" spans="1:13" ht="28" customHeight="1">
      <c r="A50" s="109" t="s">
        <v>328</v>
      </c>
      <c r="B50" s="110">
        <f>'VariablesINPUT-CTR'!D33*B3*12</f>
        <v>0</v>
      </c>
      <c r="I50" s="654"/>
      <c r="J50" s="655"/>
      <c r="K50" s="655"/>
      <c r="L50" s="655"/>
      <c r="M50" s="655"/>
    </row>
    <row r="51" spans="1:13" ht="14" thickBot="1">
      <c r="A51" s="239"/>
      <c r="B51" s="240"/>
    </row>
    <row r="52" spans="1:13">
      <c r="A52" s="29"/>
      <c r="B52" s="44"/>
    </row>
    <row r="54" spans="1:13" ht="14" thickBot="1">
      <c r="A54" s="29"/>
    </row>
    <row r="55" spans="1:13">
      <c r="A55" s="418" t="s">
        <v>422</v>
      </c>
      <c r="B55" s="419"/>
      <c r="C55" s="420"/>
      <c r="D55" s="420"/>
      <c r="E55" s="420"/>
      <c r="F55" s="420"/>
      <c r="G55" s="421"/>
    </row>
    <row r="56" spans="1:13">
      <c r="A56" s="422"/>
      <c r="B56" s="39" t="s">
        <v>329</v>
      </c>
      <c r="D56" s="29" t="s">
        <v>275</v>
      </c>
      <c r="E56" s="29" t="s">
        <v>330</v>
      </c>
      <c r="F56" s="29" t="s">
        <v>331</v>
      </c>
      <c r="G56" s="423"/>
    </row>
    <row r="57" spans="1:13">
      <c r="A57" s="422" t="s">
        <v>332</v>
      </c>
      <c r="B57" s="38">
        <v>5435</v>
      </c>
      <c r="D57">
        <v>70</v>
      </c>
      <c r="E57">
        <v>21</v>
      </c>
      <c r="F57" s="424">
        <f>B57/E57</f>
        <v>258.8095238095238</v>
      </c>
      <c r="G57" s="423"/>
    </row>
    <row r="58" spans="1:13">
      <c r="A58" s="425"/>
      <c r="B58" s="38">
        <v>9446</v>
      </c>
      <c r="D58">
        <v>60</v>
      </c>
      <c r="E58">
        <v>20</v>
      </c>
      <c r="F58" s="424">
        <f>B58/E58</f>
        <v>472.3</v>
      </c>
      <c r="G58" s="423"/>
    </row>
    <row r="59" spans="1:13">
      <c r="A59" s="425"/>
      <c r="B59" s="38">
        <v>8983</v>
      </c>
      <c r="D59">
        <v>60</v>
      </c>
      <c r="E59">
        <v>20</v>
      </c>
      <c r="F59" s="424">
        <f>B59/E59</f>
        <v>449.15</v>
      </c>
      <c r="G59" s="423"/>
    </row>
    <row r="60" spans="1:13">
      <c r="A60" s="425"/>
      <c r="B60" s="38">
        <v>11222</v>
      </c>
      <c r="D60">
        <v>63</v>
      </c>
      <c r="E60">
        <v>23</v>
      </c>
      <c r="F60" s="424">
        <f>B60/E60</f>
        <v>487.91304347826087</v>
      </c>
      <c r="G60" s="423"/>
    </row>
    <row r="61" spans="1:13" ht="14" thickBot="1">
      <c r="A61" s="426"/>
      <c r="B61" s="427">
        <f>AVERAGE(B57:B60)</f>
        <v>8771.5</v>
      </c>
      <c r="C61" s="428"/>
      <c r="D61" s="428"/>
      <c r="E61" s="428"/>
      <c r="F61" s="427">
        <f>AVERAGE(F57:F60)</f>
        <v>417.04314182194616</v>
      </c>
      <c r="G61" s="228">
        <f>SUM(F61,(F61*F2))</f>
        <v>478.76552681159421</v>
      </c>
    </row>
  </sheetData>
  <mergeCells count="1">
    <mergeCell ref="I50:M50"/>
  </mergeCells>
  <pageMargins left="0.75" right="0.75" top="1" bottom="1" header="0.5" footer="0.5"/>
  <pageSetup orientation="portrait" horizont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4B3B8-8733-A34A-A4B5-54990775D747}">
  <sheetPr codeName="Sheet8">
    <tabColor theme="5" tint="0.39997558519241921"/>
  </sheetPr>
  <dimension ref="A1:G28"/>
  <sheetViews>
    <sheetView workbookViewId="0">
      <selection activeCell="E36" sqref="E36"/>
    </sheetView>
  </sheetViews>
  <sheetFormatPr baseColWidth="10" defaultColWidth="11.5" defaultRowHeight="13"/>
  <cols>
    <col min="1" max="1" width="14.6640625" customWidth="1"/>
    <col min="3" max="3" width="14.1640625" customWidth="1"/>
    <col min="6" max="6" width="21.33203125" customWidth="1"/>
  </cols>
  <sheetData>
    <row r="1" spans="1:7">
      <c r="A1" s="29" t="s">
        <v>219</v>
      </c>
      <c r="B1" s="29" t="s">
        <v>409</v>
      </c>
      <c r="C1" s="29" t="s">
        <v>333</v>
      </c>
      <c r="G1" s="29" t="s">
        <v>410</v>
      </c>
    </row>
    <row r="2" spans="1:7">
      <c r="A2" t="s">
        <v>334</v>
      </c>
      <c r="B2" s="29" t="s">
        <v>335</v>
      </c>
      <c r="C2" s="29" t="s">
        <v>1</v>
      </c>
      <c r="D2" t="s">
        <v>3</v>
      </c>
      <c r="E2" t="s">
        <v>4</v>
      </c>
      <c r="G2" s="22"/>
    </row>
    <row r="3" spans="1:7">
      <c r="A3" t="s">
        <v>336</v>
      </c>
      <c r="B3" s="657">
        <v>1075</v>
      </c>
      <c r="C3">
        <v>1150</v>
      </c>
      <c r="D3">
        <v>1500</v>
      </c>
      <c r="E3">
        <v>1925</v>
      </c>
    </row>
    <row r="4" spans="1:7">
      <c r="A4" s="29" t="s">
        <v>337</v>
      </c>
      <c r="B4">
        <v>775</v>
      </c>
      <c r="C4">
        <v>865</v>
      </c>
      <c r="D4">
        <v>1100</v>
      </c>
      <c r="E4">
        <v>1500</v>
      </c>
      <c r="G4" s="29"/>
    </row>
    <row r="5" spans="1:7">
      <c r="A5" s="29" t="s">
        <v>159</v>
      </c>
      <c r="B5">
        <v>700</v>
      </c>
      <c r="C5">
        <f>SUM(B5,100)</f>
        <v>800</v>
      </c>
      <c r="D5">
        <v>1000</v>
      </c>
      <c r="E5">
        <v>1125</v>
      </c>
    </row>
    <row r="6" spans="1:7">
      <c r="A6" s="29" t="s">
        <v>160</v>
      </c>
      <c r="B6">
        <v>700</v>
      </c>
      <c r="C6">
        <f>SUM(B6,100)</f>
        <v>800</v>
      </c>
      <c r="D6">
        <v>1000</v>
      </c>
      <c r="E6">
        <v>1125</v>
      </c>
    </row>
    <row r="7" spans="1:7">
      <c r="A7" s="29" t="s">
        <v>17</v>
      </c>
      <c r="B7" s="17">
        <v>500</v>
      </c>
      <c r="C7" s="17">
        <v>550</v>
      </c>
      <c r="D7" s="17">
        <v>650</v>
      </c>
      <c r="E7" s="17">
        <v>750</v>
      </c>
      <c r="G7" s="29"/>
    </row>
    <row r="9" spans="1:7">
      <c r="A9" s="29" t="s">
        <v>226</v>
      </c>
    </row>
    <row r="10" spans="1:7">
      <c r="A10" t="s">
        <v>334</v>
      </c>
      <c r="B10" s="29" t="s">
        <v>335</v>
      </c>
      <c r="C10" s="29" t="s">
        <v>1</v>
      </c>
      <c r="D10" t="s">
        <v>3</v>
      </c>
      <c r="E10" t="s">
        <v>4</v>
      </c>
      <c r="G10" s="28"/>
    </row>
    <row r="11" spans="1:7">
      <c r="A11" t="s">
        <v>336</v>
      </c>
      <c r="B11">
        <v>1100</v>
      </c>
      <c r="C11">
        <v>1175</v>
      </c>
      <c r="D11">
        <v>1275</v>
      </c>
      <c r="E11">
        <v>1375</v>
      </c>
      <c r="G11" s="28"/>
    </row>
    <row r="12" spans="1:7">
      <c r="A12" s="29" t="s">
        <v>337</v>
      </c>
      <c r="B12">
        <v>1075</v>
      </c>
      <c r="C12">
        <v>1125</v>
      </c>
      <c r="D12">
        <v>1250</v>
      </c>
      <c r="E12">
        <v>1325</v>
      </c>
      <c r="G12" s="28"/>
    </row>
    <row r="13" spans="1:7">
      <c r="A13" s="29" t="s">
        <v>159</v>
      </c>
      <c r="B13">
        <v>870</v>
      </c>
      <c r="C13">
        <v>950</v>
      </c>
      <c r="D13">
        <v>1075</v>
      </c>
      <c r="E13">
        <v>1160</v>
      </c>
      <c r="G13" s="28"/>
    </row>
    <row r="14" spans="1:7">
      <c r="A14" s="29" t="s">
        <v>160</v>
      </c>
      <c r="B14">
        <v>870</v>
      </c>
      <c r="C14">
        <v>950</v>
      </c>
      <c r="D14">
        <v>1075</v>
      </c>
      <c r="E14">
        <v>1160</v>
      </c>
    </row>
    <row r="15" spans="1:7">
      <c r="A15" s="29" t="s">
        <v>17</v>
      </c>
      <c r="B15" s="17">
        <v>530</v>
      </c>
      <c r="C15" s="17">
        <v>600</v>
      </c>
      <c r="D15" s="17">
        <v>680</v>
      </c>
      <c r="E15" s="17">
        <v>725</v>
      </c>
    </row>
    <row r="18" spans="1:5">
      <c r="A18" s="29" t="s">
        <v>338</v>
      </c>
    </row>
    <row r="19" spans="1:5">
      <c r="A19" t="s">
        <v>334</v>
      </c>
      <c r="B19" s="29" t="s">
        <v>335</v>
      </c>
      <c r="C19" s="29" t="s">
        <v>1</v>
      </c>
      <c r="D19" t="s">
        <v>3</v>
      </c>
      <c r="E19" t="s">
        <v>4</v>
      </c>
    </row>
    <row r="20" spans="1:5">
      <c r="A20" t="s">
        <v>336</v>
      </c>
      <c r="B20">
        <v>1040</v>
      </c>
      <c r="C20">
        <v>1115</v>
      </c>
      <c r="D20">
        <v>1215</v>
      </c>
      <c r="E20">
        <v>1315</v>
      </c>
    </row>
    <row r="21" spans="1:5">
      <c r="A21" s="29" t="s">
        <v>337</v>
      </c>
      <c r="B21">
        <v>1000</v>
      </c>
      <c r="C21">
        <v>1050</v>
      </c>
      <c r="D21">
        <v>1175</v>
      </c>
      <c r="E21">
        <v>1250</v>
      </c>
    </row>
    <row r="22" spans="1:5">
      <c r="A22" s="29" t="s">
        <v>159</v>
      </c>
      <c r="B22">
        <v>830</v>
      </c>
      <c r="C22">
        <v>910</v>
      </c>
      <c r="D22">
        <v>1035</v>
      </c>
      <c r="E22">
        <v>1120</v>
      </c>
    </row>
    <row r="23" spans="1:5">
      <c r="A23" s="29" t="s">
        <v>160</v>
      </c>
      <c r="B23">
        <v>830</v>
      </c>
      <c r="C23">
        <v>910</v>
      </c>
      <c r="D23">
        <v>1035</v>
      </c>
      <c r="E23">
        <v>1120</v>
      </c>
    </row>
    <row r="24" spans="1:5">
      <c r="A24" s="29" t="s">
        <v>17</v>
      </c>
      <c r="B24" s="17">
        <v>475</v>
      </c>
      <c r="C24" s="17">
        <v>545</v>
      </c>
      <c r="D24" s="17">
        <v>625</v>
      </c>
      <c r="E24" s="17">
        <v>670</v>
      </c>
    </row>
    <row r="25" spans="1:5">
      <c r="C25" s="17"/>
      <c r="D25" s="17"/>
      <c r="E25" s="17"/>
    </row>
    <row r="28" spans="1:5">
      <c r="B28" s="29"/>
    </row>
  </sheetData>
  <sheetProtection algorithmName="SHA-512" hashValue="NnRq+Om65qhGI8/ep/EbNBzdVRqqF+klKNZmNepnw1Xcd3l2UFb/SsY3KPGcyhS466Xfgu1gkLqSFEkHCM6lWA==" saltValue="TEYR3jCwgTsYsscd/+TPh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44CF-491B-2840-ABFE-05EF661F8ECE}">
  <sheetPr codeName="Sheet9">
    <tabColor theme="5" tint="0.39997558519241921"/>
  </sheetPr>
  <dimension ref="A1:L108"/>
  <sheetViews>
    <sheetView workbookViewId="0">
      <selection activeCell="F64" sqref="F64"/>
    </sheetView>
  </sheetViews>
  <sheetFormatPr baseColWidth="10" defaultColWidth="7.5" defaultRowHeight="13"/>
  <cols>
    <col min="1" max="1" width="12.83203125" style="251" bestFit="1" customWidth="1"/>
    <col min="2" max="2" width="3.83203125" style="251" customWidth="1"/>
    <col min="3" max="3" width="14" style="251" customWidth="1"/>
    <col min="4" max="4" width="13.6640625" style="251" customWidth="1"/>
    <col min="5" max="6" width="10.6640625" style="251" customWidth="1"/>
    <col min="7" max="7" width="13.6640625" style="251" customWidth="1"/>
    <col min="8" max="8" width="11.1640625" style="251" bestFit="1" customWidth="1"/>
    <col min="9" max="9" width="13.1640625" style="251" bestFit="1" customWidth="1"/>
    <col min="10" max="12" width="11.1640625" style="251" bestFit="1" customWidth="1"/>
    <col min="13" max="17" width="9.83203125" style="251" bestFit="1" customWidth="1"/>
    <col min="18" max="19" width="15.5" style="251" bestFit="1" customWidth="1"/>
    <col min="20" max="20" width="17" style="251" bestFit="1" customWidth="1"/>
    <col min="21" max="21" width="15.83203125" style="251" bestFit="1" customWidth="1"/>
    <col min="22" max="22" width="15.5" style="251" bestFit="1" customWidth="1"/>
    <col min="23" max="16384" width="7.5" style="251"/>
  </cols>
  <sheetData>
    <row r="1" spans="1:12">
      <c r="C1" s="251" t="s">
        <v>85</v>
      </c>
      <c r="D1" s="299" t="s">
        <v>339</v>
      </c>
    </row>
    <row r="2" spans="1:12" ht="15">
      <c r="A2" s="252" t="s">
        <v>340</v>
      </c>
      <c r="B2" s="253"/>
      <c r="C2" s="253"/>
      <c r="D2" s="253"/>
      <c r="E2" s="253"/>
      <c r="F2" s="253"/>
      <c r="G2" s="253"/>
      <c r="I2" s="387" t="s">
        <v>341</v>
      </c>
    </row>
    <row r="3" spans="1:12" ht="15">
      <c r="A3" s="254" t="s">
        <v>6</v>
      </c>
      <c r="B3" s="254"/>
      <c r="C3" s="255" t="s">
        <v>336</v>
      </c>
      <c r="D3" s="255" t="s">
        <v>342</v>
      </c>
      <c r="E3" s="255" t="s">
        <v>159</v>
      </c>
      <c r="F3" s="255" t="s">
        <v>159</v>
      </c>
      <c r="G3" s="255" t="s">
        <v>17</v>
      </c>
    </row>
    <row r="4" spans="1:12" ht="15">
      <c r="A4" s="256" t="s">
        <v>343</v>
      </c>
      <c r="B4" s="256"/>
      <c r="C4" s="257">
        <f>SUM((C66*$C$63),C66)</f>
        <v>863.01</v>
      </c>
      <c r="D4" s="257">
        <f t="shared" ref="D4:E4" si="0">SUM((D66*$C$63),D66)</f>
        <v>864.125</v>
      </c>
      <c r="E4" s="257">
        <f t="shared" si="0"/>
        <v>839.59500000000003</v>
      </c>
      <c r="F4" s="257">
        <f t="shared" ref="F4" si="1">SUM((F66*$C$63),F66)</f>
        <v>839.59500000000003</v>
      </c>
      <c r="G4" s="257">
        <f>SUM((G66*$C$63),G66)</f>
        <v>1170.75</v>
      </c>
    </row>
    <row r="5" spans="1:12" ht="15">
      <c r="A5" s="256" t="s">
        <v>344</v>
      </c>
      <c r="B5" s="256"/>
      <c r="C5" s="257">
        <f>SUM((C73*$C$63),C73)</f>
        <v>623.28499999999997</v>
      </c>
      <c r="D5" s="257">
        <f t="shared" ref="D5:G5" si="2">SUM((D73*$C$63),D73)</f>
        <v>623.28499999999997</v>
      </c>
      <c r="E5" s="257">
        <f t="shared" si="2"/>
        <v>623.28499999999997</v>
      </c>
      <c r="F5" s="257">
        <f t="shared" ref="F5" si="3">SUM((F73*$C$63),F73)</f>
        <v>623.28499999999997</v>
      </c>
      <c r="G5" s="257">
        <f t="shared" si="2"/>
        <v>599.87</v>
      </c>
    </row>
    <row r="6" spans="1:12" ht="15">
      <c r="A6" s="256" t="s">
        <v>345</v>
      </c>
      <c r="B6" s="256"/>
      <c r="C6" s="257">
        <f>SUM((C80*$C$63),C80)</f>
        <v>719.17499999999995</v>
      </c>
      <c r="D6" s="257">
        <f t="shared" ref="D6:G6" si="4">SUM((D80*$C$63),D80)</f>
        <v>743.70500000000004</v>
      </c>
      <c r="E6" s="257">
        <f t="shared" si="4"/>
        <v>723.63499999999999</v>
      </c>
      <c r="F6" s="257">
        <f t="shared" ref="F6" si="5">SUM((F80*$C$63),F80)</f>
        <v>723.63499999999999</v>
      </c>
      <c r="G6" s="257">
        <f t="shared" si="4"/>
        <v>665.65499999999997</v>
      </c>
    </row>
    <row r="7" spans="1:12" ht="15">
      <c r="A7" s="253"/>
      <c r="B7" s="253"/>
      <c r="C7" s="253"/>
      <c r="D7" s="253"/>
      <c r="E7" s="253"/>
      <c r="F7" s="253"/>
      <c r="G7" s="253"/>
    </row>
    <row r="8" spans="1:12" ht="15">
      <c r="A8" s="252" t="s">
        <v>346</v>
      </c>
      <c r="B8" s="253"/>
      <c r="C8" s="253" t="s">
        <v>347</v>
      </c>
      <c r="D8" s="253"/>
      <c r="E8" s="253"/>
      <c r="F8" s="253"/>
      <c r="G8" s="253"/>
      <c r="H8" s="258"/>
      <c r="I8" s="258"/>
      <c r="J8" s="258"/>
      <c r="K8" s="258"/>
      <c r="L8" s="258"/>
    </row>
    <row r="9" spans="1:12" ht="15">
      <c r="A9" s="254" t="s">
        <v>6</v>
      </c>
      <c r="B9" s="254"/>
      <c r="C9" s="255" t="s">
        <v>336</v>
      </c>
      <c r="D9" s="255" t="s">
        <v>342</v>
      </c>
      <c r="E9" s="255" t="s">
        <v>159</v>
      </c>
      <c r="F9" s="255" t="s">
        <v>159</v>
      </c>
      <c r="G9" s="255" t="s">
        <v>17</v>
      </c>
      <c r="H9" s="259"/>
      <c r="I9" s="258"/>
      <c r="J9" s="258"/>
      <c r="K9" s="258"/>
      <c r="L9" s="258"/>
    </row>
    <row r="10" spans="1:12" ht="15">
      <c r="A10" s="256" t="s">
        <v>343</v>
      </c>
      <c r="B10" s="256">
        <v>1</v>
      </c>
      <c r="C10" s="257">
        <f>SUM((C67*$C$63),C67)</f>
        <v>910.95500000000004</v>
      </c>
      <c r="D10" s="257">
        <f t="shared" ref="D10:G10" si="6">SUM((D67*$C$63),D67)</f>
        <v>1054.79</v>
      </c>
      <c r="E10" s="257">
        <f t="shared" si="6"/>
        <v>767.12</v>
      </c>
      <c r="F10" s="257">
        <f t="shared" ref="F10" si="7">SUM((F67*$C$63),F67)</f>
        <v>767.12</v>
      </c>
      <c r="G10" s="257">
        <f t="shared" si="6"/>
        <v>1109.425</v>
      </c>
      <c r="H10" s="259"/>
      <c r="I10" s="258"/>
      <c r="J10" s="258"/>
      <c r="K10" s="258"/>
      <c r="L10" s="258"/>
    </row>
    <row r="11" spans="1:12" ht="15">
      <c r="A11" s="256" t="s">
        <v>344</v>
      </c>
      <c r="B11" s="256"/>
      <c r="C11" s="257">
        <f>SUM((C74*$C$63),C74)</f>
        <v>863.01</v>
      </c>
      <c r="D11" s="257">
        <f t="shared" ref="D11:G11" si="8">SUM((D74*$C$63),D74)</f>
        <v>599.87</v>
      </c>
      <c r="E11" s="257">
        <f t="shared" si="8"/>
        <v>797.22500000000002</v>
      </c>
      <c r="F11" s="257">
        <f t="shared" ref="F11" si="9">SUM((F74*$C$63),F74)</f>
        <v>797.22500000000002</v>
      </c>
      <c r="G11" s="257">
        <f t="shared" si="8"/>
        <v>731.44</v>
      </c>
    </row>
    <row r="12" spans="1:12" ht="15">
      <c r="A12" s="256" t="s">
        <v>345</v>
      </c>
      <c r="B12" s="256"/>
      <c r="C12" s="257">
        <f>SUM((C81*$C$63),C81)</f>
        <v>675.69</v>
      </c>
      <c r="D12" s="257">
        <f t="shared" ref="D12:G12" si="10">SUM((D81*$C$63),D81)</f>
        <v>671.23</v>
      </c>
      <c r="E12" s="257">
        <f t="shared" si="10"/>
        <v>656.73500000000001</v>
      </c>
      <c r="F12" s="257">
        <f t="shared" ref="F12" si="11">SUM((F81*$C$63),F81)</f>
        <v>656.73500000000001</v>
      </c>
      <c r="G12" s="257">
        <f t="shared" si="10"/>
        <v>664.54</v>
      </c>
    </row>
    <row r="13" spans="1:12" ht="15">
      <c r="A13" s="253"/>
      <c r="B13" s="253"/>
      <c r="C13" s="253"/>
      <c r="D13" s="253"/>
      <c r="E13" s="253"/>
      <c r="F13" s="253"/>
      <c r="G13" s="253"/>
    </row>
    <row r="14" spans="1:12" ht="15">
      <c r="A14" s="252" t="s">
        <v>348</v>
      </c>
      <c r="B14" s="253"/>
      <c r="C14" s="253"/>
      <c r="D14" s="253"/>
      <c r="E14" s="253"/>
      <c r="F14" s="253"/>
      <c r="G14" s="253"/>
    </row>
    <row r="15" spans="1:12" ht="15">
      <c r="A15" s="254" t="s">
        <v>6</v>
      </c>
      <c r="B15" s="254"/>
      <c r="C15" s="255" t="s">
        <v>336</v>
      </c>
      <c r="D15" s="255" t="s">
        <v>342</v>
      </c>
      <c r="E15" s="255" t="s">
        <v>159</v>
      </c>
      <c r="F15" s="255" t="s">
        <v>159</v>
      </c>
      <c r="G15" s="255" t="s">
        <v>17</v>
      </c>
    </row>
    <row r="16" spans="1:12" ht="15">
      <c r="A16" s="256" t="s">
        <v>343</v>
      </c>
      <c r="B16" s="256"/>
      <c r="C16" s="257">
        <f>SUM((C68*$C$63),C68)</f>
        <v>918.76</v>
      </c>
      <c r="D16" s="257">
        <f t="shared" ref="D16:E16" si="12">SUM((D68*$C$63),D68)</f>
        <v>863.01</v>
      </c>
      <c r="E16" s="257">
        <f t="shared" si="12"/>
        <v>743.70500000000004</v>
      </c>
      <c r="F16" s="257">
        <f t="shared" ref="F16" si="13">SUM((F68*$C$63),F68)</f>
        <v>743.70500000000004</v>
      </c>
      <c r="G16" s="257">
        <f>SUM((G68*$C$63),G68)</f>
        <v>599.87</v>
      </c>
    </row>
    <row r="17" spans="1:7" ht="15">
      <c r="A17" s="256" t="s">
        <v>344</v>
      </c>
      <c r="B17" s="256"/>
      <c r="C17" s="257">
        <f>SUM((C75*$C$63),C75)</f>
        <v>863.01</v>
      </c>
      <c r="D17" s="257">
        <f t="shared" ref="D17:G17" si="14">SUM((D75*$C$63),D75)</f>
        <v>599.87</v>
      </c>
      <c r="E17" s="257">
        <f t="shared" si="14"/>
        <v>797.22500000000002</v>
      </c>
      <c r="F17" s="257">
        <f t="shared" ref="F17" si="15">SUM((F75*$C$63),F75)</f>
        <v>797.22500000000002</v>
      </c>
      <c r="G17" s="257">
        <f t="shared" si="14"/>
        <v>731.44</v>
      </c>
    </row>
    <row r="18" spans="1:7" ht="15">
      <c r="A18" s="256" t="s">
        <v>345</v>
      </c>
      <c r="B18" s="256"/>
      <c r="C18" s="257">
        <f>SUM((C82*$C$63),C82)</f>
        <v>575.34</v>
      </c>
      <c r="D18" s="257">
        <f t="shared" ref="D18:G18" si="16">SUM((D82*$C$63),D82)</f>
        <v>575.34</v>
      </c>
      <c r="E18" s="257">
        <f t="shared" si="16"/>
        <v>527.39499999999998</v>
      </c>
      <c r="F18" s="257">
        <f t="shared" ref="F18" si="17">SUM((F82*$C$63),F82)</f>
        <v>527.39499999999998</v>
      </c>
      <c r="G18" s="257">
        <f t="shared" si="16"/>
        <v>527.39499999999998</v>
      </c>
    </row>
    <row r="19" spans="1:7" ht="15">
      <c r="A19" s="253"/>
      <c r="B19" s="253"/>
      <c r="C19" s="253"/>
      <c r="D19" s="253"/>
      <c r="E19" s="253"/>
      <c r="F19" s="253"/>
      <c r="G19" s="253"/>
    </row>
    <row r="20" spans="1:7" ht="15">
      <c r="A20" s="252" t="s">
        <v>349</v>
      </c>
      <c r="B20" s="253"/>
      <c r="C20" s="253"/>
      <c r="D20" s="253"/>
      <c r="E20" s="253"/>
      <c r="F20" s="253"/>
      <c r="G20" s="253"/>
    </row>
    <row r="21" spans="1:7" ht="15">
      <c r="A21" s="254"/>
      <c r="B21" s="254"/>
      <c r="C21" s="255" t="s">
        <v>336</v>
      </c>
      <c r="D21" s="255" t="s">
        <v>342</v>
      </c>
      <c r="E21" s="255" t="s">
        <v>159</v>
      </c>
      <c r="F21" s="255" t="s">
        <v>159</v>
      </c>
      <c r="G21" s="255" t="s">
        <v>17</v>
      </c>
    </row>
    <row r="22" spans="1:7" ht="15">
      <c r="A22" s="256" t="s">
        <v>343</v>
      </c>
      <c r="B22" s="256"/>
      <c r="C22" s="257">
        <f>SUM((C69*$C$63),C69)</f>
        <v>892</v>
      </c>
      <c r="D22" s="257">
        <f t="shared" ref="D22:G22" si="18">SUM((D69*$C$63),D68)</f>
        <v>855.65</v>
      </c>
      <c r="E22" s="257">
        <f t="shared" si="18"/>
        <v>741.17499999999995</v>
      </c>
      <c r="F22" s="257">
        <f t="shared" ref="F22" si="19">SUM((F69*$C$63),F68)</f>
        <v>741.17499999999995</v>
      </c>
      <c r="G22" s="257">
        <f t="shared" si="18"/>
        <v>603.78</v>
      </c>
    </row>
    <row r="23" spans="1:7" ht="15">
      <c r="A23" s="256" t="s">
        <v>344</v>
      </c>
      <c r="B23" s="256"/>
      <c r="C23" s="257">
        <f>SUM((C76*$C$63),C76)</f>
        <v>719.17499999999995</v>
      </c>
      <c r="D23" s="257">
        <f t="shared" ref="D23:G23" si="20">SUM((D76*$C$63),D76)</f>
        <v>719.17499999999995</v>
      </c>
      <c r="E23" s="257">
        <f t="shared" si="20"/>
        <v>719.17499999999995</v>
      </c>
      <c r="F23" s="257">
        <f t="shared" ref="F23" si="21">SUM((F76*$C$63),F76)</f>
        <v>719.17499999999995</v>
      </c>
      <c r="G23" s="257">
        <f t="shared" si="20"/>
        <v>657.85</v>
      </c>
    </row>
    <row r="24" spans="1:7" ht="15">
      <c r="A24" s="256" t="s">
        <v>345</v>
      </c>
      <c r="B24" s="256"/>
      <c r="C24" s="257">
        <f>SUM((C83*$C$63),C83)</f>
        <v>535.20000000000005</v>
      </c>
      <c r="D24" s="257">
        <f t="shared" ref="D24:G24" si="22">SUM((D83*$C$63),D83)</f>
        <v>535.20000000000005</v>
      </c>
      <c r="E24" s="257">
        <f t="shared" si="22"/>
        <v>535.20000000000005</v>
      </c>
      <c r="F24" s="257">
        <f t="shared" ref="F24" si="23">SUM((F83*$C$63),F83)</f>
        <v>535.20000000000005</v>
      </c>
      <c r="G24" s="257">
        <f t="shared" si="22"/>
        <v>535.20000000000005</v>
      </c>
    </row>
    <row r="25" spans="1:7" ht="15">
      <c r="A25" s="253"/>
      <c r="B25" s="253"/>
      <c r="C25" s="253"/>
      <c r="D25" s="253"/>
      <c r="E25" s="253"/>
      <c r="F25" s="253"/>
      <c r="G25" s="253"/>
    </row>
    <row r="26" spans="1:7" ht="15">
      <c r="A26" s="252" t="s">
        <v>350</v>
      </c>
      <c r="B26" s="253"/>
      <c r="C26" s="253"/>
      <c r="D26" s="253"/>
      <c r="E26" s="253"/>
      <c r="F26" s="253"/>
      <c r="G26" s="253"/>
    </row>
    <row r="27" spans="1:7" ht="15">
      <c r="A27" s="254"/>
      <c r="B27" s="254"/>
      <c r="C27" s="255" t="s">
        <v>336</v>
      </c>
      <c r="D27" s="255" t="s">
        <v>342</v>
      </c>
      <c r="E27" s="255" t="s">
        <v>159</v>
      </c>
      <c r="F27" s="255" t="s">
        <v>159</v>
      </c>
      <c r="G27" s="255" t="s">
        <v>17</v>
      </c>
    </row>
    <row r="28" spans="1:7" ht="15">
      <c r="A28" s="256" t="s">
        <v>343</v>
      </c>
      <c r="B28" s="256"/>
      <c r="C28" s="257">
        <f>SUM((C70*$C$63),C70)</f>
        <v>1112.77</v>
      </c>
      <c r="D28" s="257">
        <f t="shared" ref="D28:G28" si="24">SUM((D70*$C$63),D70)</f>
        <v>1069.2850000000001</v>
      </c>
      <c r="E28" s="257">
        <f t="shared" si="24"/>
        <v>996.81</v>
      </c>
      <c r="F28" s="257">
        <f t="shared" ref="F28" si="25">SUM((F70*$C$63),F70)</f>
        <v>996.81</v>
      </c>
      <c r="G28" s="257">
        <f t="shared" si="24"/>
        <v>719.17499999999995</v>
      </c>
    </row>
    <row r="29" spans="1:7" ht="15">
      <c r="A29" s="256" t="s">
        <v>344</v>
      </c>
      <c r="B29" s="256"/>
      <c r="C29" s="257">
        <f>SUM((C77*$C$63),C77)</f>
        <v>575.34</v>
      </c>
      <c r="D29" s="257">
        <f t="shared" ref="D29:G29" si="26">SUM((D77*$C$63),D77)</f>
        <v>719.17499999999995</v>
      </c>
      <c r="E29" s="257">
        <f t="shared" si="26"/>
        <v>719.17499999999995</v>
      </c>
      <c r="F29" s="257">
        <f t="shared" ref="F29" si="27">SUM((F77*$C$63),F77)</f>
        <v>719.17499999999995</v>
      </c>
      <c r="G29" s="257">
        <f t="shared" si="26"/>
        <v>657.85</v>
      </c>
    </row>
    <row r="30" spans="1:7" ht="15">
      <c r="A30" s="256" t="s">
        <v>345</v>
      </c>
      <c r="B30" s="256"/>
      <c r="C30" s="257">
        <f>SUM((C84*$C$63),C84)</f>
        <v>535.20000000000005</v>
      </c>
      <c r="D30" s="257">
        <f t="shared" ref="D30:G30" si="28">SUM((D84*$C$63),D84)</f>
        <v>535.20000000000005</v>
      </c>
      <c r="E30" s="257">
        <f t="shared" si="28"/>
        <v>535.20000000000005</v>
      </c>
      <c r="F30" s="257">
        <f t="shared" ref="F30" si="29">SUM((F84*$C$63),F84)</f>
        <v>535.20000000000005</v>
      </c>
      <c r="G30" s="257">
        <f t="shared" si="28"/>
        <v>535.20000000000005</v>
      </c>
    </row>
    <row r="31" spans="1:7" ht="15">
      <c r="A31" s="253"/>
      <c r="B31" s="253"/>
      <c r="C31" s="258"/>
      <c r="D31" s="258"/>
      <c r="E31" s="258"/>
      <c r="F31" s="258"/>
      <c r="G31" s="258"/>
    </row>
    <row r="32" spans="1:7" ht="15">
      <c r="A32" s="253" t="s">
        <v>351</v>
      </c>
      <c r="B32" s="253"/>
      <c r="C32" s="258"/>
      <c r="D32" s="258"/>
      <c r="E32" s="258"/>
      <c r="F32" s="258"/>
      <c r="G32" s="258"/>
    </row>
    <row r="33" spans="1:12" ht="15">
      <c r="A33" s="368" t="s">
        <v>340</v>
      </c>
      <c r="B33" s="253"/>
      <c r="C33" s="253"/>
      <c r="D33" s="253"/>
      <c r="E33" s="253"/>
      <c r="F33" s="253"/>
      <c r="G33" s="253"/>
    </row>
    <row r="34" spans="1:12" ht="15">
      <c r="A34" s="254" t="s">
        <v>6</v>
      </c>
      <c r="B34" s="254"/>
      <c r="C34" s="255" t="s">
        <v>336</v>
      </c>
      <c r="D34" s="255" t="s">
        <v>342</v>
      </c>
      <c r="E34" s="255" t="s">
        <v>159</v>
      </c>
      <c r="F34" s="255" t="s">
        <v>159</v>
      </c>
      <c r="G34" s="255" t="s">
        <v>17</v>
      </c>
    </row>
    <row r="35" spans="1:12" ht="15">
      <c r="A35" s="256" t="s">
        <v>343</v>
      </c>
      <c r="B35" s="256"/>
      <c r="C35" s="257">
        <f>SUM((C89*$C$63),C89)</f>
        <v>669</v>
      </c>
      <c r="D35" s="257">
        <f t="shared" ref="D35:F35" si="30">SUM((D89*$C$63),D89)</f>
        <v>623.28499999999997</v>
      </c>
      <c r="E35" s="257">
        <f t="shared" si="30"/>
        <v>599.87</v>
      </c>
      <c r="F35" s="257">
        <f t="shared" si="30"/>
        <v>599.87</v>
      </c>
      <c r="G35" s="257">
        <f>SUM((G89*$C$63),G89)</f>
        <v>599.87</v>
      </c>
    </row>
    <row r="36" spans="1:12" ht="15">
      <c r="A36" s="256" t="s">
        <v>344</v>
      </c>
      <c r="B36" s="256"/>
      <c r="C36" s="257">
        <f>SUM((C96*$C$63),C96)</f>
        <v>719.17499999999995</v>
      </c>
      <c r="D36" s="257">
        <f t="shared" ref="D36:G36" si="31">SUM((D96*$C$63),D96)</f>
        <v>657.85</v>
      </c>
      <c r="E36" s="257">
        <f t="shared" si="31"/>
        <v>623.28499999999997</v>
      </c>
      <c r="F36" s="257">
        <f>SUM((F96*$C$63),F96)</f>
        <v>623.28499999999997</v>
      </c>
      <c r="G36" s="257">
        <f t="shared" si="31"/>
        <v>669</v>
      </c>
    </row>
    <row r="37" spans="1:12" ht="15">
      <c r="A37" s="256" t="s">
        <v>345</v>
      </c>
      <c r="B37" s="256"/>
      <c r="C37" s="257">
        <f>SUM((C103*$C$63),C103)</f>
        <v>623.28499999999997</v>
      </c>
      <c r="D37" s="257">
        <f t="shared" ref="D37:F37" si="32">SUM((D103*$C$63),D103)</f>
        <v>599.87</v>
      </c>
      <c r="E37" s="257">
        <f t="shared" si="32"/>
        <v>599.87</v>
      </c>
      <c r="F37" s="257">
        <f t="shared" si="32"/>
        <v>599.87</v>
      </c>
      <c r="G37" s="257">
        <f>SUM((G103*$C$63),G103)</f>
        <v>599.87</v>
      </c>
    </row>
    <row r="38" spans="1:12" ht="15">
      <c r="A38" s="253"/>
      <c r="B38" s="253"/>
      <c r="C38" s="253"/>
      <c r="D38" s="253"/>
      <c r="E38" s="253"/>
      <c r="F38" s="253"/>
      <c r="G38" s="253"/>
    </row>
    <row r="39" spans="1:12" ht="15">
      <c r="A39" s="368" t="s">
        <v>346</v>
      </c>
      <c r="B39" s="253"/>
      <c r="C39" s="253" t="s">
        <v>347</v>
      </c>
      <c r="D39" s="253"/>
      <c r="E39" s="253"/>
      <c r="F39" s="253"/>
      <c r="G39" s="253"/>
      <c r="H39" s="258"/>
      <c r="I39" s="258"/>
      <c r="J39" s="258"/>
      <c r="K39" s="258"/>
      <c r="L39" s="258"/>
    </row>
    <row r="40" spans="1:12" ht="15">
      <c r="A40" s="254" t="s">
        <v>6</v>
      </c>
      <c r="B40" s="254"/>
      <c r="C40" s="255" t="s">
        <v>336</v>
      </c>
      <c r="D40" s="255" t="s">
        <v>342</v>
      </c>
      <c r="E40" s="255" t="s">
        <v>159</v>
      </c>
      <c r="F40" s="255" t="s">
        <v>159</v>
      </c>
      <c r="G40" s="255" t="s">
        <v>17</v>
      </c>
      <c r="H40" s="259"/>
      <c r="I40" s="258"/>
      <c r="J40" s="258"/>
      <c r="K40" s="258"/>
      <c r="L40" s="258"/>
    </row>
    <row r="41" spans="1:12" ht="15">
      <c r="A41" s="256" t="s">
        <v>343</v>
      </c>
      <c r="B41" s="256">
        <v>1</v>
      </c>
      <c r="C41" s="257">
        <f>SUM((C90*$C$63),C90)</f>
        <v>685.72500000000002</v>
      </c>
      <c r="D41" s="257">
        <f t="shared" ref="D41:G41" si="33">SUM((D90*$C$63),D90)</f>
        <v>719.17499999999995</v>
      </c>
      <c r="E41" s="257">
        <f t="shared" si="33"/>
        <v>556.38499999999999</v>
      </c>
      <c r="F41" s="257">
        <f t="shared" si="33"/>
        <v>556.38499999999999</v>
      </c>
      <c r="G41" s="257">
        <f t="shared" si="33"/>
        <v>521.82000000000005</v>
      </c>
      <c r="H41" s="259"/>
      <c r="I41" s="258"/>
      <c r="J41" s="258"/>
      <c r="K41" s="258"/>
      <c r="L41" s="258"/>
    </row>
    <row r="42" spans="1:12" ht="15">
      <c r="A42" s="256" t="s">
        <v>344</v>
      </c>
      <c r="B42" s="256"/>
      <c r="C42" s="257">
        <f>SUM((C97*$C$63),C97)</f>
        <v>839.59500000000003</v>
      </c>
      <c r="D42" s="257">
        <f t="shared" ref="D42:G42" si="34">SUM((D97*$C$63),D97)</f>
        <v>599.87</v>
      </c>
      <c r="E42" s="257">
        <f t="shared" si="34"/>
        <v>599.87</v>
      </c>
      <c r="F42" s="257">
        <f t="shared" si="34"/>
        <v>599.87</v>
      </c>
      <c r="G42" s="257">
        <f t="shared" si="34"/>
        <v>599.87</v>
      </c>
    </row>
    <row r="43" spans="1:12" ht="15">
      <c r="A43" s="256" t="s">
        <v>345</v>
      </c>
      <c r="B43" s="256"/>
      <c r="C43" s="257">
        <f>SUM((C104*$C$63),C104)</f>
        <v>623.28499999999997</v>
      </c>
      <c r="D43" s="257">
        <f t="shared" ref="D43:F43" si="35">SUM((D104*$C$63),D104)</f>
        <v>623.28499999999997</v>
      </c>
      <c r="E43" s="257">
        <f t="shared" si="35"/>
        <v>599.87</v>
      </c>
      <c r="F43" s="257">
        <f t="shared" si="35"/>
        <v>599.87</v>
      </c>
      <c r="G43" s="257">
        <f>SUM((G104*$C$63),G104)</f>
        <v>479.45</v>
      </c>
    </row>
    <row r="44" spans="1:12" ht="15">
      <c r="A44" s="253"/>
      <c r="B44" s="253"/>
      <c r="C44" s="253"/>
      <c r="D44" s="253"/>
      <c r="E44" s="253"/>
      <c r="F44" s="253"/>
      <c r="G44" s="253"/>
    </row>
    <row r="45" spans="1:12" ht="15">
      <c r="A45" s="368" t="s">
        <v>348</v>
      </c>
      <c r="B45" s="253"/>
      <c r="C45" s="253"/>
      <c r="D45" s="253"/>
      <c r="E45" s="253"/>
      <c r="F45" s="253"/>
      <c r="G45" s="253"/>
    </row>
    <row r="46" spans="1:12" ht="15">
      <c r="A46" s="254" t="s">
        <v>6</v>
      </c>
      <c r="B46" s="254"/>
      <c r="C46" s="255" t="s">
        <v>336</v>
      </c>
      <c r="D46" s="255" t="s">
        <v>342</v>
      </c>
      <c r="E46" s="255" t="s">
        <v>159</v>
      </c>
      <c r="F46" s="255" t="s">
        <v>159</v>
      </c>
      <c r="G46" s="255" t="s">
        <v>17</v>
      </c>
    </row>
    <row r="47" spans="1:12" ht="15">
      <c r="A47" s="256" t="s">
        <v>343</v>
      </c>
      <c r="B47" s="256"/>
      <c r="C47" s="257">
        <f>SUM((C91*$C$63),C91)</f>
        <v>635.54999999999995</v>
      </c>
      <c r="D47" s="257">
        <f t="shared" ref="D47:F47" si="36">SUM((D91*$C$63),D91)</f>
        <v>623.28499999999997</v>
      </c>
      <c r="E47" s="257">
        <f t="shared" si="36"/>
        <v>623.28499999999997</v>
      </c>
      <c r="F47" s="257">
        <f t="shared" si="36"/>
        <v>623.28499999999997</v>
      </c>
      <c r="G47" s="257">
        <f>SUM((G91*$C$63),G91)</f>
        <v>599.87</v>
      </c>
    </row>
    <row r="48" spans="1:12" ht="15">
      <c r="A48" s="256" t="s">
        <v>344</v>
      </c>
      <c r="B48" s="256"/>
      <c r="C48" s="257">
        <f>SUM((C98*$C$63),C98)</f>
        <v>743.70500000000004</v>
      </c>
      <c r="D48" s="257">
        <f t="shared" ref="D48:F48" si="37">SUM((D98*$C$63),D98)</f>
        <v>657.85</v>
      </c>
      <c r="E48" s="257">
        <f t="shared" si="37"/>
        <v>647.81500000000005</v>
      </c>
      <c r="F48" s="257">
        <f t="shared" si="37"/>
        <v>647.81500000000005</v>
      </c>
      <c r="G48" s="257">
        <f>SUM((G98*$C$63),G98)</f>
        <v>647.81500000000005</v>
      </c>
    </row>
    <row r="49" spans="1:7" ht="15">
      <c r="A49" s="256" t="s">
        <v>345</v>
      </c>
      <c r="B49" s="256"/>
      <c r="C49" s="257">
        <f>SUM((C105*$C$63),C105)</f>
        <v>719.17499999999995</v>
      </c>
      <c r="D49" s="257">
        <f t="shared" ref="D49:F49" si="38">SUM((D105*$C$63),D105)</f>
        <v>623.28499999999997</v>
      </c>
      <c r="E49" s="257">
        <f t="shared" si="38"/>
        <v>599.87</v>
      </c>
      <c r="F49" s="257">
        <f t="shared" si="38"/>
        <v>599.87</v>
      </c>
      <c r="G49" s="257">
        <f>SUM((G105*$C$63),G105)</f>
        <v>479.45</v>
      </c>
    </row>
    <row r="50" spans="1:7" ht="15">
      <c r="A50" s="253"/>
      <c r="B50" s="253"/>
      <c r="C50" s="253"/>
      <c r="D50" s="253"/>
      <c r="E50" s="253"/>
      <c r="F50" s="253"/>
      <c r="G50" s="253"/>
    </row>
    <row r="51" spans="1:7" ht="15">
      <c r="A51" s="368" t="s">
        <v>349</v>
      </c>
      <c r="B51" s="253"/>
      <c r="C51" s="253"/>
      <c r="D51" s="253"/>
      <c r="E51" s="253"/>
      <c r="F51" s="253"/>
      <c r="G51" s="253"/>
    </row>
    <row r="52" spans="1:7" ht="15">
      <c r="A52" s="254" t="s">
        <v>6</v>
      </c>
      <c r="B52" s="254"/>
      <c r="C52" s="255" t="s">
        <v>336</v>
      </c>
      <c r="D52" s="255" t="s">
        <v>342</v>
      </c>
      <c r="E52" s="255" t="s">
        <v>159</v>
      </c>
      <c r="F52" s="255" t="s">
        <v>159</v>
      </c>
      <c r="G52" s="255" t="s">
        <v>17</v>
      </c>
    </row>
    <row r="53" spans="1:7" ht="15">
      <c r="A53" s="256" t="s">
        <v>343</v>
      </c>
      <c r="B53" s="256"/>
      <c r="C53" s="257">
        <f>SUM((C92*$C$63),C92)</f>
        <v>647.81500000000005</v>
      </c>
      <c r="D53" s="257">
        <f t="shared" ref="D53:G53" si="39">SUM((D92*$C$63),D92)</f>
        <v>647.81500000000005</v>
      </c>
      <c r="E53" s="257">
        <f t="shared" si="39"/>
        <v>623.28499999999997</v>
      </c>
      <c r="F53" s="257">
        <f t="shared" si="39"/>
        <v>623.28499999999997</v>
      </c>
      <c r="G53" s="257">
        <f t="shared" si="39"/>
        <v>527.39499999999998</v>
      </c>
    </row>
    <row r="54" spans="1:7" ht="15">
      <c r="A54" s="256" t="s">
        <v>344</v>
      </c>
      <c r="B54" s="256"/>
      <c r="C54" s="257">
        <f>SUM((C99*$C$63),C99)</f>
        <v>239.72499999999999</v>
      </c>
      <c r="D54" s="257">
        <f t="shared" ref="D54:G54" si="40">SUM((D99*$C$63),D99)</f>
        <v>239.72499999999999</v>
      </c>
      <c r="E54" s="257">
        <f t="shared" si="40"/>
        <v>239.72499999999999</v>
      </c>
      <c r="F54" s="257">
        <f t="shared" si="40"/>
        <v>239.72499999999999</v>
      </c>
      <c r="G54" s="257">
        <f t="shared" si="40"/>
        <v>239.72499999999999</v>
      </c>
    </row>
    <row r="55" spans="1:7" ht="15">
      <c r="A55" s="256" t="s">
        <v>345</v>
      </c>
      <c r="B55" s="256"/>
      <c r="C55" s="257">
        <f>SUM((C106*$C$63),C106)</f>
        <v>575.34</v>
      </c>
      <c r="D55" s="257">
        <f t="shared" ref="D55:G55" si="41">SUM((D106*$C$63),D106)</f>
        <v>575.34</v>
      </c>
      <c r="E55" s="257">
        <f t="shared" si="41"/>
        <v>479.45</v>
      </c>
      <c r="F55" s="257">
        <f t="shared" si="41"/>
        <v>479.45</v>
      </c>
      <c r="G55" s="257">
        <f t="shared" si="41"/>
        <v>479.45</v>
      </c>
    </row>
    <row r="56" spans="1:7" ht="15">
      <c r="A56" s="253"/>
      <c r="B56" s="253"/>
      <c r="C56" s="253"/>
      <c r="D56" s="253"/>
      <c r="E56" s="253"/>
      <c r="F56" s="253"/>
      <c r="G56" s="253"/>
    </row>
    <row r="57" spans="1:7" ht="15">
      <c r="A57" s="368" t="s">
        <v>350</v>
      </c>
      <c r="B57" s="253"/>
      <c r="C57" s="253"/>
      <c r="D57" s="253"/>
      <c r="E57" s="253"/>
      <c r="F57" s="253"/>
      <c r="G57" s="253"/>
    </row>
    <row r="58" spans="1:7" ht="15">
      <c r="A58" s="254" t="s">
        <v>6</v>
      </c>
      <c r="B58" s="254"/>
      <c r="C58" s="255" t="s">
        <v>336</v>
      </c>
      <c r="D58" s="255" t="s">
        <v>342</v>
      </c>
      <c r="E58" s="255" t="s">
        <v>159</v>
      </c>
      <c r="F58" s="255" t="s">
        <v>159</v>
      </c>
      <c r="G58" s="255" t="s">
        <v>17</v>
      </c>
    </row>
    <row r="59" spans="1:7" ht="15">
      <c r="A59" s="256" t="s">
        <v>343</v>
      </c>
      <c r="B59" s="256"/>
      <c r="C59" s="257">
        <f>SUM((C93*$C$63),C93)</f>
        <v>709.14</v>
      </c>
      <c r="D59" s="257">
        <f t="shared" ref="D59:G59" si="42">SUM((D93*$C$63),D93)</f>
        <v>647.81500000000005</v>
      </c>
      <c r="E59" s="257">
        <f t="shared" si="42"/>
        <v>623.28499999999997</v>
      </c>
      <c r="F59" s="257">
        <f t="shared" si="42"/>
        <v>623.28499999999997</v>
      </c>
      <c r="G59" s="257">
        <f t="shared" si="42"/>
        <v>431.505</v>
      </c>
    </row>
    <row r="60" spans="1:7" ht="15">
      <c r="A60" s="256" t="s">
        <v>344</v>
      </c>
      <c r="B60" s="256"/>
      <c r="C60" s="257">
        <f>SUM((C100*$C$63),C100)</f>
        <v>1006.845</v>
      </c>
      <c r="D60" s="257">
        <f t="shared" ref="D60:G60" si="43">SUM((D100*$C$63),D100)</f>
        <v>538.82375000000002</v>
      </c>
      <c r="E60" s="257">
        <f t="shared" si="43"/>
        <v>527.67375000000004</v>
      </c>
      <c r="F60" s="257">
        <f t="shared" si="43"/>
        <v>527.67375000000004</v>
      </c>
      <c r="G60" s="257">
        <f t="shared" si="43"/>
        <v>539.10249999999996</v>
      </c>
    </row>
    <row r="61" spans="1:7" ht="15">
      <c r="A61" s="256" t="s">
        <v>345</v>
      </c>
      <c r="B61" s="256"/>
      <c r="C61" s="257">
        <f>SUM((C107*$C$63),C107)</f>
        <v>605.44500000000005</v>
      </c>
      <c r="D61" s="257">
        <f t="shared" ref="D61:G61" si="44">SUM((D107*$C$63),D107)</f>
        <v>605.44500000000005</v>
      </c>
      <c r="E61" s="257">
        <f t="shared" si="44"/>
        <v>569.76499999999999</v>
      </c>
      <c r="F61" s="257">
        <f t="shared" si="44"/>
        <v>569.76499999999999</v>
      </c>
      <c r="G61" s="257">
        <f t="shared" si="44"/>
        <v>509.55500000000001</v>
      </c>
    </row>
    <row r="63" spans="1:7">
      <c r="C63" s="297">
        <v>0.115</v>
      </c>
      <c r="D63" s="298" t="s">
        <v>416</v>
      </c>
      <c r="G63" s="251" t="s">
        <v>417</v>
      </c>
    </row>
    <row r="64" spans="1:7">
      <c r="A64" s="251" t="s">
        <v>352</v>
      </c>
    </row>
    <row r="65" spans="1:12" ht="15">
      <c r="A65" s="296" t="s">
        <v>343</v>
      </c>
      <c r="B65" s="296"/>
      <c r="C65" s="296" t="s">
        <v>336</v>
      </c>
      <c r="D65" s="296" t="s">
        <v>342</v>
      </c>
      <c r="E65" s="255" t="s">
        <v>159</v>
      </c>
      <c r="F65" s="255" t="s">
        <v>160</v>
      </c>
      <c r="G65" s="296" t="s">
        <v>17</v>
      </c>
    </row>
    <row r="66" spans="1:12">
      <c r="A66" s="295" t="s">
        <v>353</v>
      </c>
      <c r="B66" s="295"/>
      <c r="C66" s="295">
        <v>774</v>
      </c>
      <c r="D66" s="295">
        <v>775</v>
      </c>
      <c r="E66" s="295">
        <v>753</v>
      </c>
      <c r="F66" s="295">
        <v>753</v>
      </c>
      <c r="G66" s="295">
        <v>1050</v>
      </c>
    </row>
    <row r="67" spans="1:12">
      <c r="A67" s="295" t="s">
        <v>354</v>
      </c>
      <c r="B67" s="295"/>
      <c r="C67" s="295">
        <v>817</v>
      </c>
      <c r="D67" s="295">
        <v>946</v>
      </c>
      <c r="E67" s="295">
        <v>688</v>
      </c>
      <c r="F67" s="295">
        <v>688</v>
      </c>
      <c r="G67" s="295">
        <v>995</v>
      </c>
    </row>
    <row r="68" spans="1:12">
      <c r="A68" s="295" t="s">
        <v>248</v>
      </c>
      <c r="B68" s="295"/>
      <c r="C68" s="295">
        <v>824</v>
      </c>
      <c r="D68" s="295">
        <v>774</v>
      </c>
      <c r="E68" s="295">
        <v>667</v>
      </c>
      <c r="F68" s="295">
        <v>667</v>
      </c>
      <c r="G68" s="295">
        <v>538</v>
      </c>
    </row>
    <row r="69" spans="1:12">
      <c r="A69" s="295" t="s">
        <v>220</v>
      </c>
      <c r="B69" s="295"/>
      <c r="C69" s="295">
        <v>800</v>
      </c>
      <c r="D69" s="295">
        <v>710</v>
      </c>
      <c r="E69" s="295">
        <v>645</v>
      </c>
      <c r="F69" s="295">
        <v>645</v>
      </c>
      <c r="G69" s="295">
        <v>572</v>
      </c>
    </row>
    <row r="70" spans="1:12">
      <c r="A70" s="295" t="s">
        <v>221</v>
      </c>
      <c r="B70" s="295"/>
      <c r="C70" s="295">
        <v>998</v>
      </c>
      <c r="D70" s="295">
        <v>959</v>
      </c>
      <c r="E70" s="295">
        <v>894</v>
      </c>
      <c r="F70" s="295">
        <v>894</v>
      </c>
      <c r="G70" s="295">
        <v>645</v>
      </c>
    </row>
    <row r="72" spans="1:12" ht="15">
      <c r="A72" s="296" t="s">
        <v>355</v>
      </c>
      <c r="B72" s="296"/>
      <c r="C72" s="296" t="s">
        <v>336</v>
      </c>
      <c r="D72" s="296" t="s">
        <v>342</v>
      </c>
      <c r="E72" s="255" t="s">
        <v>159</v>
      </c>
      <c r="F72" s="255" t="s">
        <v>160</v>
      </c>
      <c r="G72" s="296" t="s">
        <v>17</v>
      </c>
    </row>
    <row r="73" spans="1:12">
      <c r="A73" s="295" t="s">
        <v>353</v>
      </c>
      <c r="B73" s="295"/>
      <c r="C73" s="295">
        <v>559</v>
      </c>
      <c r="D73" s="295">
        <v>559</v>
      </c>
      <c r="E73" s="295">
        <v>559</v>
      </c>
      <c r="F73" s="295">
        <v>559</v>
      </c>
      <c r="G73" s="295">
        <v>538</v>
      </c>
    </row>
    <row r="74" spans="1:12">
      <c r="A74" s="295" t="s">
        <v>354</v>
      </c>
      <c r="B74" s="295"/>
      <c r="C74" s="295">
        <v>774</v>
      </c>
      <c r="D74" s="295">
        <v>538</v>
      </c>
      <c r="E74" s="295">
        <v>715</v>
      </c>
      <c r="F74" s="295">
        <v>715</v>
      </c>
      <c r="G74" s="295">
        <v>656</v>
      </c>
    </row>
    <row r="75" spans="1:12">
      <c r="A75" s="295" t="s">
        <v>248</v>
      </c>
      <c r="B75" s="295" t="s">
        <v>356</v>
      </c>
      <c r="C75" s="295">
        <v>774</v>
      </c>
      <c r="D75" s="295">
        <v>538</v>
      </c>
      <c r="E75" s="295">
        <v>715</v>
      </c>
      <c r="F75" s="295">
        <v>715</v>
      </c>
      <c r="G75" s="295">
        <v>656</v>
      </c>
    </row>
    <row r="76" spans="1:12">
      <c r="A76" s="295" t="s">
        <v>220</v>
      </c>
      <c r="B76" s="295"/>
      <c r="C76" s="295">
        <v>645</v>
      </c>
      <c r="D76" s="295">
        <v>645</v>
      </c>
      <c r="E76" s="295">
        <v>645</v>
      </c>
      <c r="F76" s="295">
        <v>645</v>
      </c>
      <c r="G76" s="295">
        <v>590</v>
      </c>
    </row>
    <row r="77" spans="1:12">
      <c r="A77" s="295" t="s">
        <v>221</v>
      </c>
      <c r="B77" s="295"/>
      <c r="C77" s="295">
        <v>516</v>
      </c>
      <c r="D77" s="295">
        <v>645</v>
      </c>
      <c r="E77" s="295">
        <v>645</v>
      </c>
      <c r="F77" s="295">
        <v>645</v>
      </c>
      <c r="G77" s="295">
        <v>590</v>
      </c>
      <c r="I77" s="251" t="s">
        <v>158</v>
      </c>
      <c r="J77" s="251" t="s">
        <v>357</v>
      </c>
      <c r="K77" s="251" t="s">
        <v>358</v>
      </c>
      <c r="L77" s="251" t="s">
        <v>359</v>
      </c>
    </row>
    <row r="78" spans="1:12">
      <c r="C78" s="251">
        <f>SUM(C73:C77)/5</f>
        <v>653.6</v>
      </c>
      <c r="D78" s="251">
        <f>SUM(D73:D77)/5</f>
        <v>585</v>
      </c>
      <c r="E78" s="251">
        <f>SUM(E73:E77)/5</f>
        <v>655.8</v>
      </c>
      <c r="F78" s="251">
        <f>SUM(F73:F77)/5</f>
        <v>655.8</v>
      </c>
      <c r="G78" s="251">
        <f>SUM(G73:G77)/5</f>
        <v>606</v>
      </c>
      <c r="I78" s="389">
        <f>(C78-D78)/C78</f>
        <v>0.10495716034271729</v>
      </c>
      <c r="J78" s="389">
        <f>(D78-E78)/D78</f>
        <v>-0.12102564102564095</v>
      </c>
      <c r="K78" s="389">
        <f>(E78-F78)/E78</f>
        <v>0</v>
      </c>
      <c r="L78" s="389">
        <f>(F78-G78)/F78</f>
        <v>7.5937785910338451E-2</v>
      </c>
    </row>
    <row r="79" spans="1:12" ht="15">
      <c r="A79" s="296" t="s">
        <v>360</v>
      </c>
      <c r="B79" s="296"/>
      <c r="C79" s="296" t="s">
        <v>336</v>
      </c>
      <c r="D79" s="296" t="s">
        <v>342</v>
      </c>
      <c r="E79" s="255" t="s">
        <v>159</v>
      </c>
      <c r="F79" s="255" t="s">
        <v>160</v>
      </c>
      <c r="G79" s="296" t="s">
        <v>17</v>
      </c>
    </row>
    <row r="80" spans="1:12">
      <c r="A80" s="295" t="s">
        <v>353</v>
      </c>
      <c r="B80" s="295"/>
      <c r="C80" s="295">
        <v>645</v>
      </c>
      <c r="D80" s="295">
        <v>667</v>
      </c>
      <c r="E80" s="295">
        <v>649</v>
      </c>
      <c r="F80" s="295">
        <v>649</v>
      </c>
      <c r="G80" s="295">
        <v>597</v>
      </c>
    </row>
    <row r="81" spans="1:12">
      <c r="A81" s="295" t="s">
        <v>354</v>
      </c>
      <c r="B81" s="295"/>
      <c r="C81" s="295">
        <v>606</v>
      </c>
      <c r="D81" s="295">
        <v>602</v>
      </c>
      <c r="E81" s="295">
        <v>589</v>
      </c>
      <c r="F81" s="295">
        <v>589</v>
      </c>
      <c r="G81" s="295">
        <v>596</v>
      </c>
    </row>
    <row r="82" spans="1:12">
      <c r="A82" s="295" t="s">
        <v>248</v>
      </c>
      <c r="B82" s="295"/>
      <c r="C82" s="295">
        <v>516</v>
      </c>
      <c r="D82" s="295">
        <v>516</v>
      </c>
      <c r="E82" s="295">
        <v>473</v>
      </c>
      <c r="F82" s="295">
        <v>473</v>
      </c>
      <c r="G82" s="295">
        <v>473</v>
      </c>
    </row>
    <row r="83" spans="1:12">
      <c r="A83" s="295" t="s">
        <v>220</v>
      </c>
      <c r="B83" s="295"/>
      <c r="C83" s="295">
        <v>480</v>
      </c>
      <c r="D83" s="295">
        <v>480</v>
      </c>
      <c r="E83" s="295">
        <v>480</v>
      </c>
      <c r="F83" s="295">
        <v>480</v>
      </c>
      <c r="G83" s="295">
        <v>480</v>
      </c>
    </row>
    <row r="84" spans="1:12">
      <c r="A84" s="295" t="s">
        <v>221</v>
      </c>
      <c r="B84" s="295"/>
      <c r="C84" s="295">
        <v>480</v>
      </c>
      <c r="D84" s="295">
        <v>480</v>
      </c>
      <c r="E84" s="295">
        <v>480</v>
      </c>
      <c r="F84" s="295">
        <v>480</v>
      </c>
      <c r="G84" s="295">
        <v>480</v>
      </c>
      <c r="I84" s="251" t="s">
        <v>158</v>
      </c>
      <c r="J84" s="251" t="s">
        <v>357</v>
      </c>
      <c r="K84" s="251" t="s">
        <v>358</v>
      </c>
      <c r="L84" s="251" t="s">
        <v>359</v>
      </c>
    </row>
    <row r="85" spans="1:12">
      <c r="C85" s="251">
        <f>SUM(C80:C84)/5</f>
        <v>545.4</v>
      </c>
      <c r="D85" s="251">
        <f>SUM(D80:D84)/5</f>
        <v>549</v>
      </c>
      <c r="E85" s="251">
        <f>SUM(E80:E84)/5</f>
        <v>534.20000000000005</v>
      </c>
      <c r="F85" s="251">
        <f>SUM(F80:F84)/5</f>
        <v>534.20000000000005</v>
      </c>
      <c r="G85" s="251">
        <f>SUM(G80:G84)/5</f>
        <v>525.20000000000005</v>
      </c>
      <c r="I85" s="389">
        <f>(C85-D85)/C85</f>
        <v>-6.6006600660066424E-3</v>
      </c>
      <c r="J85" s="389">
        <f>(D85-E85)/D85</f>
        <v>2.6958105646630155E-2</v>
      </c>
      <c r="K85" s="389">
        <f>(E85-F85)/E85</f>
        <v>0</v>
      </c>
      <c r="L85" s="389">
        <f>(F85-G85)/F85</f>
        <v>1.6847622613253461E-2</v>
      </c>
    </row>
    <row r="87" spans="1:12">
      <c r="A87" s="251" t="s">
        <v>361</v>
      </c>
    </row>
    <row r="88" spans="1:12" ht="15">
      <c r="A88" s="296" t="s">
        <v>343</v>
      </c>
      <c r="B88" s="296"/>
      <c r="C88" s="296" t="s">
        <v>336</v>
      </c>
      <c r="D88" s="296" t="s">
        <v>342</v>
      </c>
      <c r="E88" s="255" t="s">
        <v>159</v>
      </c>
      <c r="F88" s="255" t="s">
        <v>159</v>
      </c>
      <c r="G88" s="296" t="s">
        <v>17</v>
      </c>
    </row>
    <row r="89" spans="1:12">
      <c r="A89" s="295" t="s">
        <v>353</v>
      </c>
      <c r="B89" s="295"/>
      <c r="C89" s="295">
        <v>600</v>
      </c>
      <c r="D89" s="295">
        <v>559</v>
      </c>
      <c r="E89" s="295">
        <v>538</v>
      </c>
      <c r="F89" s="295">
        <v>538</v>
      </c>
      <c r="G89" s="295">
        <v>538</v>
      </c>
    </row>
    <row r="90" spans="1:12">
      <c r="A90" s="295" t="s">
        <v>354</v>
      </c>
      <c r="B90" s="295"/>
      <c r="C90" s="295">
        <v>615</v>
      </c>
      <c r="D90" s="295">
        <v>645</v>
      </c>
      <c r="E90" s="295">
        <v>499</v>
      </c>
      <c r="F90" s="295">
        <v>499</v>
      </c>
      <c r="G90" s="295">
        <v>468</v>
      </c>
    </row>
    <row r="91" spans="1:12">
      <c r="A91" s="295" t="s">
        <v>248</v>
      </c>
      <c r="B91" s="295"/>
      <c r="C91" s="295">
        <v>570</v>
      </c>
      <c r="D91" s="295">
        <v>559</v>
      </c>
      <c r="E91" s="295">
        <v>559</v>
      </c>
      <c r="F91" s="295">
        <v>559</v>
      </c>
      <c r="G91" s="295">
        <v>538</v>
      </c>
    </row>
    <row r="92" spans="1:12">
      <c r="A92" s="295" t="s">
        <v>220</v>
      </c>
      <c r="B92" s="295"/>
      <c r="C92" s="295">
        <v>581</v>
      </c>
      <c r="D92" s="295">
        <v>581</v>
      </c>
      <c r="E92" s="295">
        <v>559</v>
      </c>
      <c r="F92" s="295">
        <v>559</v>
      </c>
      <c r="G92" s="295">
        <v>473</v>
      </c>
    </row>
    <row r="93" spans="1:12">
      <c r="A93" s="295" t="s">
        <v>221</v>
      </c>
      <c r="B93" s="295"/>
      <c r="C93" s="295">
        <v>636</v>
      </c>
      <c r="D93" s="295">
        <v>581</v>
      </c>
      <c r="E93" s="295">
        <v>559</v>
      </c>
      <c r="F93" s="295">
        <v>559</v>
      </c>
      <c r="G93" s="295">
        <v>387</v>
      </c>
    </row>
    <row r="95" spans="1:12" ht="15">
      <c r="A95" s="296" t="s">
        <v>355</v>
      </c>
      <c r="B95" s="296"/>
      <c r="C95" s="296" t="s">
        <v>336</v>
      </c>
      <c r="D95" s="296" t="s">
        <v>342</v>
      </c>
      <c r="E95" s="255" t="s">
        <v>159</v>
      </c>
      <c r="F95" s="255" t="s">
        <v>159</v>
      </c>
      <c r="G95" s="296" t="s">
        <v>17</v>
      </c>
    </row>
    <row r="96" spans="1:12">
      <c r="A96" s="295" t="s">
        <v>353</v>
      </c>
      <c r="B96" s="295"/>
      <c r="C96" s="295">
        <v>645</v>
      </c>
      <c r="D96" s="295">
        <v>590</v>
      </c>
      <c r="E96" s="295">
        <v>559</v>
      </c>
      <c r="F96" s="295">
        <v>559</v>
      </c>
      <c r="G96" s="295">
        <v>600</v>
      </c>
    </row>
    <row r="97" spans="1:12">
      <c r="A97" s="295" t="s">
        <v>354</v>
      </c>
      <c r="B97" s="295"/>
      <c r="C97" s="295">
        <v>753</v>
      </c>
      <c r="D97" s="295">
        <v>538</v>
      </c>
      <c r="E97" s="295">
        <v>538</v>
      </c>
      <c r="F97" s="295">
        <v>538</v>
      </c>
      <c r="G97" s="295">
        <v>538</v>
      </c>
    </row>
    <row r="98" spans="1:12">
      <c r="A98" s="295" t="s">
        <v>248</v>
      </c>
      <c r="B98" s="295" t="s">
        <v>356</v>
      </c>
      <c r="C98" s="295">
        <v>667</v>
      </c>
      <c r="D98" s="295">
        <v>590</v>
      </c>
      <c r="E98" s="295">
        <v>581</v>
      </c>
      <c r="F98" s="295">
        <v>581</v>
      </c>
      <c r="G98" s="295">
        <v>581</v>
      </c>
    </row>
    <row r="99" spans="1:12">
      <c r="A99" s="295" t="s">
        <v>220</v>
      </c>
      <c r="B99" s="295"/>
      <c r="C99" s="369">
        <v>215</v>
      </c>
      <c r="D99" s="295">
        <v>215</v>
      </c>
      <c r="E99" s="295">
        <v>215</v>
      </c>
      <c r="F99" s="295">
        <v>215</v>
      </c>
      <c r="G99" s="295">
        <v>215</v>
      </c>
    </row>
    <row r="100" spans="1:12">
      <c r="A100" s="295" t="s">
        <v>221</v>
      </c>
      <c r="B100" s="295"/>
      <c r="C100" s="295">
        <v>903</v>
      </c>
      <c r="D100" s="369">
        <f>AVERAGE(D96:D99)</f>
        <v>483.25</v>
      </c>
      <c r="E100" s="369">
        <f>AVERAGE(E96:E99)</f>
        <v>473.25</v>
      </c>
      <c r="F100" s="369">
        <f>AVERAGE(F96:F99)</f>
        <v>473.25</v>
      </c>
      <c r="G100" s="369">
        <f>AVERAGE(G96:G99)</f>
        <v>483.5</v>
      </c>
      <c r="I100" s="251" t="s">
        <v>158</v>
      </c>
      <c r="J100" s="251" t="s">
        <v>357</v>
      </c>
      <c r="K100" s="251" t="s">
        <v>358</v>
      </c>
      <c r="L100" s="251" t="s">
        <v>359</v>
      </c>
    </row>
    <row r="101" spans="1:12">
      <c r="C101" s="251">
        <f>SUM(C96:C100)/5</f>
        <v>636.6</v>
      </c>
      <c r="D101" s="251">
        <f>SUM(D96:D100)/5</f>
        <v>483.25</v>
      </c>
      <c r="E101" s="251">
        <f>SUM(E96:E100)/5</f>
        <v>473.25</v>
      </c>
      <c r="F101" s="251">
        <f>SUM(F96:F100)/5</f>
        <v>473.25</v>
      </c>
      <c r="G101" s="251">
        <f>SUM(G96:G100)/5</f>
        <v>483.5</v>
      </c>
      <c r="I101" s="389">
        <f>(C101-D101)/C101</f>
        <v>0.24088909833490421</v>
      </c>
      <c r="J101" s="389">
        <f>(D101-E101)/D101</f>
        <v>2.0693222969477496E-2</v>
      </c>
      <c r="K101" s="389">
        <f>(E101-F101)/E101</f>
        <v>0</v>
      </c>
      <c r="L101" s="389">
        <f>(F101-G101)/F101</f>
        <v>-2.1658742736397254E-2</v>
      </c>
    </row>
    <row r="102" spans="1:12" ht="15">
      <c r="A102" s="296" t="s">
        <v>360</v>
      </c>
      <c r="B102" s="296"/>
      <c r="C102" s="296" t="s">
        <v>336</v>
      </c>
      <c r="D102" s="296" t="s">
        <v>342</v>
      </c>
      <c r="E102" s="255" t="s">
        <v>159</v>
      </c>
      <c r="F102" s="255" t="s">
        <v>159</v>
      </c>
      <c r="G102" s="296" t="s">
        <v>17</v>
      </c>
    </row>
    <row r="103" spans="1:12">
      <c r="A103" s="295" t="s">
        <v>353</v>
      </c>
      <c r="B103" s="295"/>
      <c r="C103" s="295">
        <v>559</v>
      </c>
      <c r="D103" s="295">
        <v>538</v>
      </c>
      <c r="E103" s="295">
        <v>538</v>
      </c>
      <c r="F103" s="295">
        <v>538</v>
      </c>
      <c r="G103" s="295">
        <v>538</v>
      </c>
    </row>
    <row r="104" spans="1:12">
      <c r="A104" s="295" t="s">
        <v>354</v>
      </c>
      <c r="B104" s="295"/>
      <c r="C104" s="369">
        <f>D104</f>
        <v>559</v>
      </c>
      <c r="D104" s="369">
        <f>D105</f>
        <v>559</v>
      </c>
      <c r="E104" s="369">
        <f>E105</f>
        <v>538</v>
      </c>
      <c r="F104" s="369">
        <f>F105</f>
        <v>538</v>
      </c>
      <c r="G104" s="369">
        <f>G105</f>
        <v>430</v>
      </c>
    </row>
    <row r="105" spans="1:12">
      <c r="A105" s="295" t="s">
        <v>248</v>
      </c>
      <c r="B105" s="295"/>
      <c r="C105" s="295">
        <v>645</v>
      </c>
      <c r="D105" s="295">
        <v>559</v>
      </c>
      <c r="E105" s="295">
        <v>538</v>
      </c>
      <c r="F105" s="295">
        <v>538</v>
      </c>
      <c r="G105" s="295">
        <v>430</v>
      </c>
    </row>
    <row r="106" spans="1:12">
      <c r="A106" s="295" t="s">
        <v>220</v>
      </c>
      <c r="B106" s="295"/>
      <c r="C106" s="295">
        <v>516</v>
      </c>
      <c r="D106" s="295">
        <v>516</v>
      </c>
      <c r="E106" s="295">
        <v>430</v>
      </c>
      <c r="F106" s="295">
        <v>430</v>
      </c>
      <c r="G106" s="295">
        <v>430</v>
      </c>
    </row>
    <row r="107" spans="1:12">
      <c r="A107" s="295" t="s">
        <v>221</v>
      </c>
      <c r="B107" s="295"/>
      <c r="C107" s="369">
        <f>D107</f>
        <v>543</v>
      </c>
      <c r="D107" s="369">
        <f>AVERAGE(D103:D106)</f>
        <v>543</v>
      </c>
      <c r="E107" s="369">
        <f>AVERAGE(E103:E106)</f>
        <v>511</v>
      </c>
      <c r="F107" s="369">
        <f>AVERAGE(F103:F106)</f>
        <v>511</v>
      </c>
      <c r="G107" s="369">
        <f>AVERAGE(G103:G106)</f>
        <v>457</v>
      </c>
      <c r="I107" s="251" t="s">
        <v>158</v>
      </c>
      <c r="J107" s="251" t="s">
        <v>357</v>
      </c>
      <c r="K107" s="251" t="s">
        <v>358</v>
      </c>
      <c r="L107" s="251" t="s">
        <v>359</v>
      </c>
    </row>
    <row r="108" spans="1:12">
      <c r="C108" s="388">
        <f>SUM(C103,C105,C107)/3</f>
        <v>582.33333333333337</v>
      </c>
      <c r="D108" s="388">
        <f>SUM(D103,D105,D107)/3</f>
        <v>546.66666666666663</v>
      </c>
      <c r="E108" s="251">
        <f>SUM(E103,E105,E107)/3</f>
        <v>529</v>
      </c>
      <c r="F108" s="251">
        <f>SUM(F103,F105,F107)/3</f>
        <v>529</v>
      </c>
      <c r="G108" s="251">
        <f>SUM(G103,G105,G107)/3</f>
        <v>475</v>
      </c>
      <c r="I108" s="389">
        <f>(C108-D108)/C108</f>
        <v>6.1247853463079691E-2</v>
      </c>
      <c r="J108" s="389">
        <f>(D108-E108)/D108</f>
        <v>3.2317073170731639E-2</v>
      </c>
      <c r="K108" s="389">
        <f>(E108-F108)/E108</f>
        <v>0</v>
      </c>
      <c r="L108" s="389">
        <f>(F108-G108)/F108</f>
        <v>0.10207939508506617</v>
      </c>
    </row>
  </sheetData>
  <hyperlinks>
    <hyperlink ref="I2" r:id="rId1" xr:uid="{A510D21D-F439-B64F-A834-8C1B2BAC7CE1}"/>
  </hyperlinks>
  <pageMargins left="0.7" right="0.7" top="0.75" bottom="0.75" header="0.3" footer="0.3"/>
  <pageSetup orientation="portrait" horizontalDpi="4294967293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3FB41-35D5-654B-B1A9-9E12B554D5AB}">
  <sheetPr codeName="Sheet10">
    <tabColor theme="5" tint="0.39997558519241921"/>
  </sheetPr>
  <dimension ref="A1:T61"/>
  <sheetViews>
    <sheetView workbookViewId="0">
      <selection activeCell="M25" sqref="M25"/>
    </sheetView>
  </sheetViews>
  <sheetFormatPr baseColWidth="10" defaultColWidth="8.83203125" defaultRowHeight="13"/>
  <cols>
    <col min="1" max="1" width="13.83203125" style="115" customWidth="1"/>
    <col min="2" max="2" width="8.83203125" style="115"/>
    <col min="3" max="3" width="9.6640625" style="115" customWidth="1"/>
    <col min="4" max="16384" width="8.83203125" style="115"/>
  </cols>
  <sheetData>
    <row r="1" spans="1:20">
      <c r="A1" s="115" t="s">
        <v>362</v>
      </c>
      <c r="G1" s="22" t="s">
        <v>405</v>
      </c>
      <c r="L1" s="121"/>
    </row>
    <row r="2" spans="1:20">
      <c r="A2" s="115" t="s">
        <v>363</v>
      </c>
    </row>
    <row r="3" spans="1:20" ht="25.75" customHeight="1">
      <c r="A3" s="118" t="s">
        <v>406</v>
      </c>
    </row>
    <row r="4" spans="1:20">
      <c r="A4" s="120" t="s">
        <v>343</v>
      </c>
      <c r="H4" s="247"/>
      <c r="I4" s="248" t="s">
        <v>364</v>
      </c>
    </row>
    <row r="5" spans="1:20" ht="28">
      <c r="A5" s="119" t="s">
        <v>365</v>
      </c>
      <c r="D5" s="151" t="s">
        <v>366</v>
      </c>
      <c r="E5" s="249" t="s">
        <v>367</v>
      </c>
      <c r="F5" s="151" t="s">
        <v>368</v>
      </c>
      <c r="H5" s="119" t="s">
        <v>369</v>
      </c>
      <c r="J5" s="115" t="s">
        <v>178</v>
      </c>
      <c r="L5" s="115" t="s">
        <v>370</v>
      </c>
      <c r="R5" s="151"/>
      <c r="S5" s="249"/>
      <c r="T5" s="151"/>
    </row>
    <row r="6" spans="1:20">
      <c r="A6" s="115" t="s">
        <v>371</v>
      </c>
      <c r="B6" s="115" t="s">
        <v>372</v>
      </c>
      <c r="D6" s="138">
        <v>0.33</v>
      </c>
      <c r="E6" s="138">
        <v>0.35</v>
      </c>
      <c r="F6" s="138">
        <v>0.09</v>
      </c>
      <c r="H6" s="138">
        <f>SUM(D6,E6,2*F6)</f>
        <v>0.85999999999999988</v>
      </c>
      <c r="J6" s="250">
        <f>5*H6</f>
        <v>4.2999999999999989</v>
      </c>
      <c r="L6" s="138">
        <f>D6+(2*F6)</f>
        <v>0.51</v>
      </c>
    </row>
    <row r="7" spans="1:20">
      <c r="A7" s="115" t="s">
        <v>373</v>
      </c>
      <c r="B7" s="115" t="s">
        <v>374</v>
      </c>
      <c r="D7" s="138">
        <v>1.67</v>
      </c>
      <c r="E7" s="138">
        <v>3.26</v>
      </c>
      <c r="F7" s="138">
        <v>0.5</v>
      </c>
      <c r="H7" s="138">
        <f>SUM(D7,E7,2*F7)</f>
        <v>5.93</v>
      </c>
      <c r="J7" s="250">
        <f>5*H7</f>
        <v>29.65</v>
      </c>
      <c r="L7" s="138">
        <f>D7+(2*F7)</f>
        <v>2.67</v>
      </c>
      <c r="O7" s="138"/>
    </row>
    <row r="8" spans="1:20">
      <c r="A8" s="115" t="s">
        <v>375</v>
      </c>
      <c r="B8" s="115" t="s">
        <v>376</v>
      </c>
      <c r="D8" s="138">
        <v>1.97</v>
      </c>
      <c r="E8" s="138">
        <v>3.66</v>
      </c>
      <c r="F8" s="138">
        <v>1</v>
      </c>
      <c r="H8" s="138">
        <f>SUM(D8,E8,2*F8)</f>
        <v>7.63</v>
      </c>
      <c r="J8" s="250">
        <f>5*H8</f>
        <v>38.15</v>
      </c>
      <c r="L8" s="138">
        <f>D8+(2*F8)</f>
        <v>3.9699999999999998</v>
      </c>
      <c r="O8" s="138"/>
    </row>
    <row r="9" spans="1:20">
      <c r="D9" s="138"/>
      <c r="E9" s="138"/>
      <c r="F9" s="138"/>
      <c r="I9" s="115" t="s">
        <v>377</v>
      </c>
      <c r="J9" s="138">
        <f>AVERAGE(J6:J8)</f>
        <v>24.033333333333331</v>
      </c>
    </row>
    <row r="10" spans="1:20">
      <c r="H10" s="248" t="s">
        <v>378</v>
      </c>
    </row>
    <row r="12" spans="1:20">
      <c r="A12" s="120" t="s">
        <v>379</v>
      </c>
    </row>
    <row r="13" spans="1:20" ht="28">
      <c r="B13" s="151" t="s">
        <v>366</v>
      </c>
      <c r="C13" s="249" t="s">
        <v>367</v>
      </c>
      <c r="D13" s="151" t="s">
        <v>368</v>
      </c>
      <c r="E13" s="115" t="s">
        <v>380</v>
      </c>
      <c r="F13" s="115" t="s">
        <v>73</v>
      </c>
    </row>
    <row r="14" spans="1:20">
      <c r="A14" s="115" t="s">
        <v>381</v>
      </c>
      <c r="B14" s="138">
        <v>1.4</v>
      </c>
      <c r="C14" s="138">
        <v>2.63</v>
      </c>
      <c r="D14" s="138">
        <v>0.78</v>
      </c>
      <c r="E14" s="138">
        <f>SUM(B14,C14,D14*2)</f>
        <v>5.59</v>
      </c>
      <c r="F14" s="138">
        <f>E14*5</f>
        <v>27.95</v>
      </c>
      <c r="H14" s="115" t="s">
        <v>373</v>
      </c>
    </row>
    <row r="15" spans="1:20">
      <c r="A15" s="115" t="s">
        <v>382</v>
      </c>
      <c r="B15" s="138">
        <v>0.51</v>
      </c>
      <c r="C15" s="138">
        <v>1.59</v>
      </c>
      <c r="D15" s="138">
        <v>0.21</v>
      </c>
      <c r="E15" s="138">
        <f>SUM(B15,C15,D15*2)</f>
        <v>2.52</v>
      </c>
      <c r="F15" s="138">
        <f>E15*5</f>
        <v>12.6</v>
      </c>
      <c r="H15" s="115" t="s">
        <v>371</v>
      </c>
    </row>
    <row r="18" spans="2:10">
      <c r="B18" s="120"/>
      <c r="H18" s="248"/>
    </row>
    <row r="19" spans="2:10">
      <c r="D19" s="151"/>
      <c r="E19" s="249"/>
      <c r="F19" s="151"/>
      <c r="H19" s="119"/>
    </row>
    <row r="20" spans="2:10">
      <c r="D20" s="136"/>
      <c r="E20" s="136"/>
      <c r="F20" s="136"/>
      <c r="H20" s="138"/>
      <c r="J20" s="138"/>
    </row>
    <row r="21" spans="2:10">
      <c r="D21" s="136"/>
      <c r="E21" s="136"/>
      <c r="F21" s="136"/>
      <c r="H21" s="138"/>
      <c r="J21" s="138"/>
    </row>
    <row r="23" spans="2:10">
      <c r="B23" s="123"/>
      <c r="C23" s="123"/>
      <c r="D23" s="123"/>
    </row>
    <row r="24" spans="2:10">
      <c r="B24" s="123"/>
      <c r="C24" s="123"/>
      <c r="D24" s="123"/>
    </row>
    <row r="25" spans="2:10">
      <c r="B25" s="123"/>
      <c r="C25" s="123"/>
      <c r="D25" s="123"/>
    </row>
    <row r="26" spans="2:10">
      <c r="B26" s="123"/>
      <c r="C26" s="123"/>
      <c r="D26" s="123"/>
    </row>
    <row r="27" spans="2:10">
      <c r="B27" s="123"/>
    </row>
    <row r="33" spans="2:8">
      <c r="B33" s="340"/>
      <c r="C33" s="123"/>
      <c r="D33" s="123"/>
    </row>
    <row r="34" spans="2:8">
      <c r="B34" s="340"/>
      <c r="C34" s="123"/>
      <c r="D34" s="123"/>
    </row>
    <row r="35" spans="2:8">
      <c r="B35" s="340"/>
      <c r="C35" s="123"/>
      <c r="D35" s="123"/>
    </row>
    <row r="36" spans="2:8">
      <c r="B36" s="340"/>
      <c r="C36" s="123"/>
      <c r="D36" s="123"/>
    </row>
    <row r="37" spans="2:8">
      <c r="B37" s="340"/>
    </row>
    <row r="42" spans="2:8">
      <c r="B42" s="340"/>
      <c r="C42" s="123"/>
      <c r="D42" s="123"/>
      <c r="F42" s="123"/>
      <c r="G42" s="123"/>
      <c r="H42" s="123"/>
    </row>
    <row r="43" spans="2:8">
      <c r="B43" s="340"/>
      <c r="C43" s="123"/>
      <c r="D43" s="123"/>
      <c r="F43" s="123"/>
      <c r="G43" s="123"/>
      <c r="H43" s="123"/>
    </row>
    <row r="44" spans="2:8">
      <c r="B44" s="340"/>
      <c r="C44" s="123"/>
      <c r="D44" s="123"/>
      <c r="F44" s="123"/>
      <c r="G44" s="123"/>
      <c r="H44" s="123"/>
    </row>
    <row r="45" spans="2:8">
      <c r="B45" s="340"/>
      <c r="C45" s="123"/>
      <c r="D45" s="123"/>
      <c r="F45" s="123"/>
      <c r="G45" s="123"/>
      <c r="H45" s="123"/>
    </row>
    <row r="49" spans="1:8">
      <c r="A49" s="29"/>
      <c r="B49" s="29"/>
      <c r="C49" s="29"/>
      <c r="D49" s="29"/>
    </row>
    <row r="50" spans="1:8">
      <c r="A50" s="29"/>
      <c r="B50" s="340"/>
      <c r="C50" s="15"/>
      <c r="D50" s="15"/>
      <c r="F50" s="15"/>
      <c r="G50" s="15"/>
      <c r="H50" s="15"/>
    </row>
    <row r="51" spans="1:8">
      <c r="A51" s="29"/>
      <c r="B51" s="340"/>
      <c r="C51" s="15"/>
      <c r="D51" s="15"/>
      <c r="F51" s="15"/>
      <c r="G51" s="15"/>
      <c r="H51" s="15"/>
    </row>
    <row r="52" spans="1:8">
      <c r="A52" s="29"/>
      <c r="B52" s="340"/>
      <c r="C52" s="15"/>
      <c r="D52" s="15"/>
      <c r="F52" s="15"/>
      <c r="G52" s="15"/>
      <c r="H52" s="15"/>
    </row>
    <row r="53" spans="1:8">
      <c r="A53" s="29"/>
      <c r="B53" s="340"/>
      <c r="C53" s="15"/>
      <c r="D53" s="15"/>
      <c r="F53" s="15"/>
      <c r="G53" s="15"/>
      <c r="H53" s="15"/>
    </row>
    <row r="57" spans="1:8">
      <c r="A57" s="29"/>
      <c r="B57" s="29"/>
      <c r="C57" s="29"/>
      <c r="D57" s="29"/>
    </row>
    <row r="58" spans="1:8">
      <c r="A58" s="29"/>
      <c r="B58" s="340"/>
      <c r="C58" s="15"/>
      <c r="D58" s="15"/>
    </row>
    <row r="59" spans="1:8">
      <c r="A59" s="29"/>
      <c r="B59" s="340"/>
      <c r="C59" s="15"/>
      <c r="D59" s="15"/>
    </row>
    <row r="60" spans="1:8">
      <c r="A60" s="29"/>
      <c r="B60" s="340"/>
      <c r="C60" s="15"/>
      <c r="D60" s="15"/>
    </row>
    <row r="61" spans="1:8">
      <c r="A61" s="29"/>
      <c r="B61" s="340"/>
      <c r="C61" s="15"/>
      <c r="D61" s="15"/>
    </row>
  </sheetData>
  <pageMargins left="0.75" right="0.75" top="1" bottom="1" header="0.5" footer="0.5"/>
  <pageSetup orientation="portrait" horizontalDpi="4294967293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FCF56-8D2A-8049-AC02-840ED838700A}">
  <sheetPr codeName="Sheet11">
    <tabColor theme="5" tint="0.39997558519241921"/>
  </sheetPr>
  <dimension ref="A1:J32"/>
  <sheetViews>
    <sheetView workbookViewId="0">
      <selection activeCell="F64" sqref="F64"/>
    </sheetView>
  </sheetViews>
  <sheetFormatPr baseColWidth="10" defaultColWidth="8.83203125" defaultRowHeight="13"/>
  <cols>
    <col min="1" max="1" width="20.83203125" style="115" customWidth="1"/>
    <col min="2" max="3" width="13.33203125" style="115" customWidth="1"/>
    <col min="4" max="4" width="14.6640625" style="115" customWidth="1"/>
    <col min="5" max="5" width="15.83203125" style="115" customWidth="1"/>
    <col min="6" max="6" width="13" style="115" customWidth="1"/>
    <col min="7" max="16384" width="8.83203125" style="115"/>
  </cols>
  <sheetData>
    <row r="1" spans="1:10">
      <c r="B1" s="115" t="s">
        <v>383</v>
      </c>
      <c r="J1" s="115" t="s">
        <v>384</v>
      </c>
    </row>
    <row r="2" spans="1:10">
      <c r="A2" s="262" t="s">
        <v>385</v>
      </c>
      <c r="B2" s="656" t="s">
        <v>386</v>
      </c>
      <c r="C2" s="656"/>
      <c r="D2" s="656"/>
      <c r="E2" s="267" t="s">
        <v>67</v>
      </c>
      <c r="J2" s="115" t="s">
        <v>387</v>
      </c>
    </row>
    <row r="3" spans="1:10" ht="15" customHeight="1">
      <c r="A3" s="263"/>
      <c r="B3" s="264" t="s">
        <v>388</v>
      </c>
      <c r="C3" s="264" t="s">
        <v>389</v>
      </c>
      <c r="D3" s="264" t="s">
        <v>390</v>
      </c>
      <c r="E3" s="268" t="s">
        <v>391</v>
      </c>
      <c r="F3" s="119" t="s">
        <v>392</v>
      </c>
    </row>
    <row r="4" spans="1:10" ht="13" customHeight="1">
      <c r="B4" s="266"/>
      <c r="C4" s="127">
        <v>700</v>
      </c>
      <c r="D4" s="127">
        <v>875</v>
      </c>
      <c r="E4" s="269">
        <v>875</v>
      </c>
      <c r="F4" s="127">
        <v>400</v>
      </c>
      <c r="G4" s="127"/>
      <c r="H4" s="127"/>
      <c r="I4" s="127"/>
      <c r="J4" s="127"/>
    </row>
    <row r="5" spans="1:10" ht="15.75" customHeight="1">
      <c r="B5" s="265"/>
      <c r="C5" s="265"/>
      <c r="D5" s="265"/>
      <c r="E5" s="269"/>
      <c r="F5" s="127"/>
      <c r="G5" s="127"/>
      <c r="H5" s="127"/>
      <c r="I5" s="127"/>
      <c r="J5" s="127"/>
    </row>
    <row r="6" spans="1:10">
      <c r="A6" s="115" t="s">
        <v>393</v>
      </c>
      <c r="B6" s="123">
        <f>B4*12</f>
        <v>0</v>
      </c>
      <c r="C6" s="123">
        <f>C4*12</f>
        <v>8400</v>
      </c>
      <c r="D6" s="123">
        <f>D4*12</f>
        <v>10500</v>
      </c>
      <c r="E6" s="123">
        <f>E4*12</f>
        <v>10500</v>
      </c>
      <c r="F6" s="123">
        <f>F4*12</f>
        <v>4800</v>
      </c>
      <c r="I6" s="22" t="s">
        <v>394</v>
      </c>
    </row>
    <row r="7" spans="1:10">
      <c r="A7" s="120" t="s">
        <v>395</v>
      </c>
      <c r="B7" s="281">
        <f>B4*10</f>
        <v>0</v>
      </c>
      <c r="C7" s="281">
        <f>C4*10</f>
        <v>7000</v>
      </c>
      <c r="D7" s="281">
        <f>D4*10</f>
        <v>8750</v>
      </c>
      <c r="E7" s="281">
        <f>E4*10</f>
        <v>8750</v>
      </c>
      <c r="F7" s="281">
        <f>F4*10</f>
        <v>4000</v>
      </c>
    </row>
    <row r="8" spans="1:10">
      <c r="C8" s="123"/>
      <c r="D8" s="123"/>
    </row>
    <row r="30" spans="3:3" ht="18">
      <c r="C30" s="280"/>
    </row>
    <row r="31" spans="3:3" ht="18">
      <c r="C31" s="280"/>
    </row>
    <row r="32" spans="3:3" ht="18">
      <c r="C32" s="280"/>
    </row>
  </sheetData>
  <mergeCells count="1">
    <mergeCell ref="B2:D2"/>
  </mergeCells>
  <hyperlinks>
    <hyperlink ref="I6" r:id="rId1" xr:uid="{CA6A34F3-5C20-E94A-BBAE-92DD9D79EC74}"/>
  </hyperlinks>
  <pageMargins left="0.7" right="0.7" top="0.75" bottom="0.75" header="0.3" footer="0.3"/>
  <pageSetup orientation="portrait" horizont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1A8EA-FE0C-CC4D-92CA-E23E27164D6F}">
  <sheetPr codeName="Sheet12">
    <tabColor theme="1"/>
  </sheetPr>
  <dimension ref="A1:A6"/>
  <sheetViews>
    <sheetView zoomScale="140" zoomScaleNormal="140" workbookViewId="0">
      <selection activeCell="F64" sqref="F64"/>
    </sheetView>
  </sheetViews>
  <sheetFormatPr baseColWidth="10" defaultRowHeight="13"/>
  <sheetData>
    <row r="1" spans="1:1">
      <c r="A1" s="170" t="s">
        <v>411</v>
      </c>
    </row>
    <row r="2" spans="1:1">
      <c r="A2" s="29" t="s">
        <v>412</v>
      </c>
    </row>
    <row r="3" spans="1:1">
      <c r="A3" s="29" t="s">
        <v>413</v>
      </c>
    </row>
    <row r="4" spans="1:1">
      <c r="A4" s="29" t="s">
        <v>414</v>
      </c>
    </row>
    <row r="5" spans="1:1">
      <c r="A5" s="29" t="s">
        <v>415</v>
      </c>
    </row>
    <row r="6" spans="1:1">
      <c r="A6" s="29" t="s">
        <v>419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E0CA48B592B540AE872CD132CDA518" ma:contentTypeVersion="14" ma:contentTypeDescription="Create a new document." ma:contentTypeScope="" ma:versionID="19dcf18a571369dac12488206dc60426">
  <xsd:schema xmlns:xsd="http://www.w3.org/2001/XMLSchema" xmlns:xs="http://www.w3.org/2001/XMLSchema" xmlns:p="http://schemas.microsoft.com/office/2006/metadata/properties" xmlns:ns2="db02e63f-c57a-4094-ac27-81bb96728ce4" xmlns:ns3="10e25aaf-7277-47a3-ac6f-8bf087b3d215" targetNamespace="http://schemas.microsoft.com/office/2006/metadata/properties" ma:root="true" ma:fieldsID="95d39c306361b2a7667366cebd4061bc" ns2:_="" ns3:_="">
    <xsd:import namespace="db02e63f-c57a-4094-ac27-81bb96728ce4"/>
    <xsd:import namespace="10e25aaf-7277-47a3-ac6f-8bf087b3d2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02e63f-c57a-4094-ac27-81bb96728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dc2e105-0a4e-4d3e-b8dd-4fcf47bc68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25aaf-7277-47a3-ac6f-8bf087b3d21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8116259-e888-4ce3-a483-c6a743b01ed1}" ma:internalName="TaxCatchAll" ma:showField="CatchAllData" ma:web="10e25aaf-7277-47a3-ac6f-8bf087b3d2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e25aaf-7277-47a3-ac6f-8bf087b3d215" xsi:nil="true"/>
    <lcf76f155ced4ddcb4097134ff3c332f xmlns="db02e63f-c57a-4094-ac27-81bb96728ce4">
      <Terms xmlns="http://schemas.microsoft.com/office/infopath/2007/PartnerControls"/>
    </lcf76f155ced4ddcb4097134ff3c332f>
    <SharedWithUsers xmlns="10e25aaf-7277-47a3-ac6f-8bf087b3d215">
      <UserInfo>
        <DisplayName>Jeanna Capito [P5FS]</DisplayName>
        <AccountId>13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1B9008A-8178-457C-8901-F3C78DEBC3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9C84E3-AB2A-4517-AA51-2EF980829E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02e63f-c57a-4094-ac27-81bb96728ce4"/>
    <ds:schemaRef ds:uri="10e25aaf-7277-47a3-ac6f-8bf087b3d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91BE58-CCC7-43E4-BAB4-B18A6DAE48D8}">
  <ds:schemaRefs>
    <ds:schemaRef ds:uri="db02e63f-c57a-4094-ac27-81bb96728ce4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10e25aaf-7277-47a3-ac6f-8bf087b3d21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54</vt:i4>
      </vt:variant>
    </vt:vector>
  </HeadingPairs>
  <TitlesOfParts>
    <vt:vector size="66" baseType="lpstr">
      <vt:lpstr>VariablesINPUT-CTR</vt:lpstr>
      <vt:lpstr>Quality Center Profile</vt:lpstr>
      <vt:lpstr>VariablesINPUT-FCC</vt:lpstr>
      <vt:lpstr>QualityHomeProfile</vt:lpstr>
      <vt:lpstr>Ratios</vt:lpstr>
      <vt:lpstr>Wages</vt:lpstr>
      <vt:lpstr>Nonpersonnel</vt:lpstr>
      <vt:lpstr>Subsidy rates</vt:lpstr>
      <vt:lpstr>Tuition Rates</vt:lpstr>
      <vt:lpstr>Fed CACFP</vt:lpstr>
      <vt:lpstr>PreK</vt:lpstr>
      <vt:lpstr>NOTES</vt:lpstr>
      <vt:lpstr>_NumberTeachingStaff</vt:lpstr>
      <vt:lpstr>AdditionalBenefits</vt:lpstr>
      <vt:lpstr>Addl_benefits_per_staff</vt:lpstr>
      <vt:lpstr>Admin_Staff</vt:lpstr>
      <vt:lpstr>Asst_Teacher</vt:lpstr>
      <vt:lpstr>BadDebt</vt:lpstr>
      <vt:lpstr>EnrollEffic</vt:lpstr>
      <vt:lpstr>Floater_Assts</vt:lpstr>
      <vt:lpstr>GRT</vt:lpstr>
      <vt:lpstr>HealthIns</vt:lpstr>
      <vt:lpstr>HealthInsFCC</vt:lpstr>
      <vt:lpstr>InfantClassrooms</vt:lpstr>
      <vt:lpstr>Infants</vt:lpstr>
      <vt:lpstr>KinderParity</vt:lpstr>
      <vt:lpstr>LeadTeacher</vt:lpstr>
      <vt:lpstr>MandatoryBenefits</vt:lpstr>
      <vt:lpstr>Nonpersonnel</vt:lpstr>
      <vt:lpstr>NP_EdProgram</vt:lpstr>
      <vt:lpstr>NP_MgtAdmin</vt:lpstr>
      <vt:lpstr>NP_Occupancy</vt:lpstr>
      <vt:lpstr>Occupancy</vt:lpstr>
      <vt:lpstr>Paid_Leave</vt:lpstr>
      <vt:lpstr>PaidLeaveFCC</vt:lpstr>
      <vt:lpstr>Personnel</vt:lpstr>
      <vt:lpstr>Pre3Children</vt:lpstr>
      <vt:lpstr>Pre4Children</vt:lpstr>
      <vt:lpstr>Pre4classroom</vt:lpstr>
      <vt:lpstr>Preschoolers</vt:lpstr>
      <vt:lpstr>PreschoolersClassroom</vt:lpstr>
      <vt:lpstr>PreschoolersClassroom3</vt:lpstr>
      <vt:lpstr>QualityHomeProfile!Print_Area</vt:lpstr>
      <vt:lpstr>'VariablesINPUT-CTR'!Print_Area</vt:lpstr>
      <vt:lpstr>'VariablesINPUT-FCC'!Print_Area</vt:lpstr>
      <vt:lpstr>RatioOpt</vt:lpstr>
      <vt:lpstr>Region</vt:lpstr>
      <vt:lpstr>RegionFCC</vt:lpstr>
      <vt:lpstr>Reserve_Fund</vt:lpstr>
      <vt:lpstr>Salary</vt:lpstr>
      <vt:lpstr>SalaryLevel</vt:lpstr>
      <vt:lpstr>SalaryScaleFCC</vt:lpstr>
      <vt:lpstr>SchoolageClassroom</vt:lpstr>
      <vt:lpstr>Schoolagers</vt:lpstr>
      <vt:lpstr>Sick_Days</vt:lpstr>
      <vt:lpstr>SickDaysFCC</vt:lpstr>
      <vt:lpstr>StarLevel</vt:lpstr>
      <vt:lpstr>Subs</vt:lpstr>
      <vt:lpstr>ThreesClassrooms</vt:lpstr>
      <vt:lpstr>ToddlerClassrooms</vt:lpstr>
      <vt:lpstr>Toddlers</vt:lpstr>
      <vt:lpstr>TotalChildren</vt:lpstr>
      <vt:lpstr>TotalClassrooms</vt:lpstr>
      <vt:lpstr>Twos</vt:lpstr>
      <vt:lpstr>TwosClassroom</vt:lpstr>
      <vt:lpstr>TwosClassrooms</vt:lpstr>
    </vt:vector>
  </TitlesOfParts>
  <Manager/>
  <Company>Early Childhood Policy Research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Mitchell</dc:creator>
  <cp:keywords/>
  <dc:description/>
  <cp:lastModifiedBy>Jeanna Capito</cp:lastModifiedBy>
  <cp:revision/>
  <dcterms:created xsi:type="dcterms:W3CDTF">2008-09-19T15:38:02Z</dcterms:created>
  <dcterms:modified xsi:type="dcterms:W3CDTF">2023-07-19T23:50:33Z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0x010100E0E0CA48B592B540AE872CD132CDA518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  <property fmtid="{D5CDD505-2E9C-101B-9397-08002B2CF9AE}" pid="12" name="SharedWithUsers">
    <vt:lpwstr>13;#Jeanna Capito [P5FS]</vt:lpwstr>
  </property>
</Properties>
</file>