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"/>
    </mc:Choice>
  </mc:AlternateContent>
  <xr:revisionPtr revIDLastSave="198" documentId="8_{DB301443-32FE-3644-9E7F-66ED552DAC85}" xr6:coauthVersionLast="47" xr6:coauthVersionMax="47" xr10:uidLastSave="{303FB250-64F4-404D-B8D0-8A8D0D80CB76}"/>
  <workbookProtection workbookAlgorithmName="SHA-512" workbookHashValue="dW8o/d+KJX5r8jT9ELRuGEsk/xWOW06AK65nR9f25r+R0rib+hhycmUeKl0NhDNivuix5NY5iN+R1s1TzpmlLA==" workbookSaltValue="9WU1gYEGyrBq+yvkh5O29g==" workbookSpinCount="100000" lockStructure="1"/>
  <bookViews>
    <workbookView xWindow="5000" yWindow="1140" windowWidth="22740" windowHeight="19100" activeTab="2" xr2:uid="{058427AB-F779-2141-A2E5-910541989633}"/>
  </bookViews>
  <sheets>
    <sheet name="VariablesINPUT-CTR" sheetId="35" state="hidden" r:id="rId1"/>
    <sheet name="Quality Center Profile" sheetId="1" state="hidden" r:id="rId2"/>
    <sheet name="VariablesINPUT-FCC" sheetId="100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00" l="1"/>
  <c r="D66" i="101"/>
  <c r="C72" i="100"/>
  <c r="F56" i="101"/>
  <c r="G56" i="101"/>
  <c r="H56" i="101"/>
  <c r="I56" i="101"/>
  <c r="J56" i="101"/>
  <c r="J55" i="101"/>
  <c r="I55" i="101"/>
  <c r="H55" i="101"/>
  <c r="G55" i="101"/>
  <c r="F55" i="101"/>
  <c r="E12" i="100"/>
  <c r="C12" i="100"/>
  <c r="E13" i="100" s="1"/>
  <c r="I17" i="101" l="1"/>
  <c r="J17" i="101"/>
  <c r="K17" i="101"/>
  <c r="H17" i="101"/>
  <c r="I16" i="101"/>
  <c r="J16" i="101"/>
  <c r="K16" i="101"/>
  <c r="H16" i="101"/>
  <c r="D1" i="101"/>
  <c r="I63" i="100"/>
  <c r="H63" i="100"/>
  <c r="G63" i="100"/>
  <c r="D63" i="1"/>
  <c r="D64" i="1"/>
  <c r="D65" i="1"/>
  <c r="J9" i="103"/>
  <c r="D40" i="100"/>
  <c r="D41" i="100"/>
  <c r="D42" i="100"/>
  <c r="D43" i="100"/>
  <c r="D39" i="100"/>
  <c r="B47" i="35" l="1"/>
  <c r="C70" i="100" l="1"/>
  <c r="C72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E56" i="91" l="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59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E24" i="102"/>
  <c r="D24" i="102"/>
  <c r="C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E15" i="102"/>
  <c r="E14" i="102"/>
  <c r="E13" i="102"/>
  <c r="E12" i="102"/>
  <c r="E11" i="102"/>
  <c r="D14" i="102"/>
  <c r="D13" i="102"/>
  <c r="D12" i="102"/>
  <c r="D11" i="102"/>
  <c r="C14" i="102"/>
  <c r="C13" i="102"/>
  <c r="C12" i="102"/>
  <c r="C11" i="102"/>
  <c r="E6" i="102"/>
  <c r="E3" i="102"/>
  <c r="D5" i="102"/>
  <c r="D4" i="102"/>
  <c r="D3" i="102"/>
  <c r="B25" i="91"/>
  <c r="A27" i="77" l="1"/>
  <c r="E34" i="77" s="1"/>
  <c r="E1" i="1"/>
  <c r="C3" i="102" l="1"/>
  <c r="C4" i="102"/>
  <c r="C5" i="102"/>
  <c r="C6" i="102"/>
  <c r="C7" i="102"/>
  <c r="D6" i="102"/>
  <c r="D7" i="102"/>
  <c r="E4" i="102"/>
  <c r="E5" i="102"/>
  <c r="E7" i="102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H59" i="100" l="1"/>
  <c r="H60" i="100"/>
  <c r="H61" i="100"/>
  <c r="H58" i="100"/>
  <c r="H57" i="100"/>
  <c r="D35" i="9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C7" i="91" l="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1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K23" i="1" l="1"/>
  <c r="K25" i="1"/>
  <c r="M16" i="101"/>
  <c r="E36" i="91"/>
  <c r="C70" i="35"/>
  <c r="E15" i="103"/>
  <c r="F15" i="103" s="1"/>
  <c r="E14" i="103"/>
  <c r="F14" i="103" s="1"/>
  <c r="A8" i="101"/>
  <c r="A9" i="101"/>
  <c r="A10" i="101"/>
  <c r="A11" i="101" l="1"/>
  <c r="D39" i="101" s="1"/>
  <c r="C57" i="100" s="1"/>
  <c r="A13" i="101"/>
  <c r="A12" i="101"/>
  <c r="D40" i="101" l="1"/>
  <c r="C58" i="100" s="1"/>
  <c r="E28" i="77" l="1"/>
  <c r="A17" i="101"/>
  <c r="A18" i="101"/>
  <c r="F32" i="101" s="1"/>
  <c r="A20" i="101" l="1"/>
  <c r="C50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2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J32" i="77"/>
  <c r="L32" i="77"/>
  <c r="M30" i="77"/>
  <c r="M25" i="77"/>
  <c r="J25" i="77"/>
  <c r="M12" i="77"/>
  <c r="A19" i="101" l="1"/>
  <c r="M42" i="77"/>
  <c r="M32" i="77"/>
  <c r="N12" i="77"/>
  <c r="F62" i="35"/>
  <c r="E6" i="77"/>
  <c r="F6" i="105" l="1"/>
  <c r="E6" i="105"/>
  <c r="C6" i="105"/>
  <c r="D6" i="105"/>
  <c r="C7" i="105"/>
  <c r="F7" i="105"/>
  <c r="E7" i="105"/>
  <c r="D7" i="105"/>
  <c r="B40" i="100" l="1"/>
  <c r="B41" i="100"/>
  <c r="B42" i="100"/>
  <c r="B43" i="100"/>
  <c r="B39" i="100"/>
  <c r="C44" i="100"/>
  <c r="D45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D54" i="101" s="1"/>
  <c r="A65" i="1"/>
  <c r="C69" i="35"/>
  <c r="D55" i="101"/>
  <c r="C68" i="100" s="1"/>
  <c r="A54" i="101"/>
  <c r="L30" i="77" l="1"/>
  <c r="J30" i="77"/>
  <c r="J33" i="77" s="1"/>
  <c r="L20" i="77"/>
  <c r="L25" i="77" s="1"/>
  <c r="L33" i="77" s="1"/>
  <c r="J39" i="77" s="1"/>
  <c r="L39" i="77" l="1"/>
  <c r="D15" i="102"/>
  <c r="F53" i="100"/>
  <c r="F74" i="100" s="1"/>
  <c r="F81" i="100" s="1"/>
  <c r="C15" i="102"/>
  <c r="F58" i="100"/>
  <c r="F59" i="100"/>
  <c r="F60" i="100"/>
  <c r="F61" i="100"/>
  <c r="F57" i="100"/>
  <c r="H62" i="35"/>
  <c r="F68" i="100" l="1"/>
  <c r="F65" i="100"/>
  <c r="F67" i="100"/>
  <c r="F66" i="100"/>
  <c r="F64" i="100"/>
  <c r="G60" i="100"/>
  <c r="G61" i="35"/>
  <c r="G59" i="100"/>
  <c r="G58" i="100"/>
  <c r="G57" i="100"/>
  <c r="D46" i="100"/>
  <c r="C67" i="100"/>
  <c r="E67" i="35"/>
  <c r="E68" i="35"/>
  <c r="E69" i="35"/>
  <c r="E70" i="35"/>
  <c r="E63" i="35"/>
  <c r="I60" i="100" l="1"/>
  <c r="I58" i="100"/>
  <c r="D56" i="101"/>
  <c r="C69" i="100" s="1"/>
  <c r="A55" i="101"/>
  <c r="I59" i="100"/>
  <c r="I57" i="100"/>
  <c r="B11" i="1"/>
  <c r="H55" i="1" s="1"/>
  <c r="D58" i="101" l="1"/>
  <c r="A52" i="101"/>
  <c r="G11" i="1"/>
  <c r="E66" i="35"/>
  <c r="E60" i="35"/>
  <c r="E61" i="35"/>
  <c r="E62" i="35"/>
  <c r="E59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1" i="100" s="1"/>
  <c r="D61" i="101"/>
  <c r="D64" i="101"/>
  <c r="G63" i="35"/>
  <c r="G60" i="35"/>
  <c r="D62" i="101"/>
  <c r="G61" i="100"/>
  <c r="G59" i="35"/>
  <c r="F61" i="35"/>
  <c r="C12" i="35"/>
  <c r="D43" i="35" s="1"/>
  <c r="C11" i="1"/>
  <c r="A11" i="1" s="1"/>
  <c r="D52" i="1" s="1"/>
  <c r="C62" i="35" s="1"/>
  <c r="E26" i="91"/>
  <c r="N19" i="1" s="1"/>
  <c r="E28" i="91"/>
  <c r="M10" i="101" l="1"/>
  <c r="M6" i="101"/>
  <c r="M9" i="101"/>
  <c r="J64" i="1"/>
  <c r="M7" i="101"/>
  <c r="M8" i="101"/>
  <c r="E62" i="101"/>
  <c r="F62" i="101" s="1"/>
  <c r="C71" i="100" s="1"/>
  <c r="D63" i="101"/>
  <c r="D65" i="101" s="1"/>
  <c r="F63" i="35"/>
  <c r="H63" i="35" s="1"/>
  <c r="S11" i="1"/>
  <c r="J32" i="91"/>
  <c r="N23" i="1"/>
  <c r="F59" i="35"/>
  <c r="H59" i="35" s="1"/>
  <c r="F60" i="35"/>
  <c r="H60" i="35" s="1"/>
  <c r="E11" i="1"/>
  <c r="I61" i="100"/>
  <c r="D15" i="91"/>
  <c r="D16" i="91"/>
  <c r="H61" i="35"/>
  <c r="D29" i="91"/>
  <c r="D28" i="91"/>
  <c r="D27" i="91"/>
  <c r="M20" i="1" s="1"/>
  <c r="E25" i="91"/>
  <c r="N18" i="1" s="1"/>
  <c r="E29" i="91"/>
  <c r="D26" i="91"/>
  <c r="M19" i="1" s="1"/>
  <c r="D17" i="91"/>
  <c r="D18" i="91"/>
  <c r="M11" i="101" l="1"/>
  <c r="P16" i="101"/>
  <c r="N25" i="1"/>
  <c r="N24" i="1"/>
  <c r="N26" i="1"/>
  <c r="O17" i="101"/>
  <c r="M24" i="1"/>
  <c r="M26" i="1"/>
  <c r="I32" i="91"/>
  <c r="O16" i="101"/>
  <c r="M23" i="1"/>
  <c r="M25" i="1"/>
  <c r="A26" i="1"/>
  <c r="F54" i="100"/>
  <c r="F75" i="100" s="1"/>
  <c r="F82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2" i="100"/>
  <c r="F73" i="100" s="1"/>
  <c r="F80" i="100" s="1"/>
  <c r="F51" i="100"/>
  <c r="F72" i="100" s="1"/>
  <c r="F79" i="100" s="1"/>
  <c r="F50" i="100"/>
  <c r="F71" i="100" s="1"/>
  <c r="F78" i="100" s="1"/>
  <c r="F33" i="101" l="1"/>
  <c r="F18" i="101"/>
  <c r="F20" i="101" l="1"/>
  <c r="D20" i="101" s="1"/>
  <c r="C53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F9" i="1"/>
  <c r="F8" i="1"/>
  <c r="B9" i="1"/>
  <c r="H53" i="1" s="1"/>
  <c r="B8" i="1"/>
  <c r="H52" i="1" s="1"/>
  <c r="B3" i="77"/>
  <c r="B50" i="77" s="1"/>
  <c r="D53" i="1" s="1"/>
  <c r="C71" i="35" l="1"/>
  <c r="A64" i="1"/>
  <c r="A61" i="1" s="1"/>
  <c r="D46" i="35"/>
  <c r="B2" i="77"/>
  <c r="F12" i="1"/>
  <c r="D50" i="1" s="1"/>
  <c r="C60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3" i="35" s="1"/>
  <c r="D57" i="1"/>
  <c r="C64" i="35" s="1"/>
  <c r="C74" i="35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1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2" i="35" s="1"/>
  <c r="L7" i="1"/>
  <c r="D49" i="1"/>
  <c r="C59" i="35" s="1"/>
  <c r="B41" i="77"/>
  <c r="D29" i="1"/>
  <c r="M10" i="1"/>
  <c r="A29" i="1"/>
  <c r="C53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4" i="100" l="1"/>
  <c r="C55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0" i="100" s="1"/>
  <c r="J10" i="101"/>
  <c r="J7" i="101"/>
  <c r="J8" i="101"/>
  <c r="J9" i="101"/>
  <c r="C62" i="100" l="1"/>
  <c r="C64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3" i="100" s="1"/>
  <c r="G80" i="100" s="1"/>
  <c r="N6" i="101"/>
  <c r="G6" i="101" s="1"/>
  <c r="C6" i="101" s="1"/>
  <c r="G71" i="100" s="1"/>
  <c r="G78" i="100" s="1"/>
  <c r="H11" i="101"/>
  <c r="G10" i="101"/>
  <c r="C10" i="101" s="1"/>
  <c r="N7" i="101"/>
  <c r="G7" i="101" s="1"/>
  <c r="C7" i="101" s="1"/>
  <c r="G72" i="100" s="1"/>
  <c r="G79" i="100" s="1"/>
  <c r="L11" i="101"/>
  <c r="D50" i="101"/>
  <c r="F10" i="101"/>
  <c r="F7" i="101"/>
  <c r="F6" i="101"/>
  <c r="F8" i="101"/>
  <c r="F9" i="101"/>
  <c r="N9" i="101"/>
  <c r="G9" i="101" s="1"/>
  <c r="C9" i="101" s="1"/>
  <c r="G74" i="100" s="1"/>
  <c r="G81" i="100" s="1"/>
  <c r="G75" i="100" l="1"/>
  <c r="G82" i="100" s="1"/>
  <c r="E66" i="101"/>
  <c r="C74" i="100"/>
  <c r="E9" i="101"/>
  <c r="E7" i="101"/>
  <c r="E6" i="101"/>
  <c r="E8" i="101"/>
  <c r="G54" i="100"/>
  <c r="E10" i="101"/>
  <c r="D10" i="101"/>
  <c r="N11" i="101"/>
  <c r="G52" i="100"/>
  <c r="G66" i="100" s="1"/>
  <c r="D8" i="101"/>
  <c r="G53" i="100"/>
  <c r="D9" i="101"/>
  <c r="D7" i="101"/>
  <c r="G51" i="100"/>
  <c r="G65" i="100" s="1"/>
  <c r="I75" i="100" l="1"/>
  <c r="I82" i="100" s="1"/>
  <c r="H75" i="100"/>
  <c r="H82" i="100" s="1"/>
  <c r="H54" i="100"/>
  <c r="H68" i="100" s="1"/>
  <c r="G68" i="100"/>
  <c r="H72" i="100"/>
  <c r="H79" i="100" s="1"/>
  <c r="I72" i="100"/>
  <c r="I79" i="100" s="1"/>
  <c r="I73" i="100"/>
  <c r="I80" i="100" s="1"/>
  <c r="H73" i="100"/>
  <c r="H80" i="100" s="1"/>
  <c r="I71" i="100"/>
  <c r="I78" i="100" s="1"/>
  <c r="H71" i="100"/>
  <c r="H78" i="100" s="1"/>
  <c r="I74" i="100"/>
  <c r="I81" i="100" s="1"/>
  <c r="H74" i="100"/>
  <c r="H81" i="100" s="1"/>
  <c r="I54" i="100"/>
  <c r="I68" i="100" s="1"/>
  <c r="H51" i="100"/>
  <c r="H65" i="100" s="1"/>
  <c r="I51" i="100"/>
  <c r="I65" i="100" s="1"/>
  <c r="H53" i="100"/>
  <c r="H67" i="100" s="1"/>
  <c r="G67" i="100"/>
  <c r="I53" i="100"/>
  <c r="I67" i="100" s="1"/>
  <c r="I52" i="100"/>
  <c r="I66" i="100" s="1"/>
  <c r="H52" i="100"/>
  <c r="H66" i="100" s="1"/>
  <c r="G50" i="100"/>
  <c r="G64" i="100" s="1"/>
  <c r="D6" i="101"/>
  <c r="D11" i="101" l="1"/>
  <c r="I50" i="100"/>
  <c r="I64" i="100" s="1"/>
  <c r="H50" i="100"/>
  <c r="H64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6" i="35" s="1"/>
  <c r="K11" i="1"/>
  <c r="K10" i="1"/>
  <c r="K9" i="1"/>
  <c r="K7" i="1"/>
  <c r="K12" i="1" l="1"/>
  <c r="D39" i="1"/>
  <c r="D42" i="1"/>
  <c r="D41" i="1"/>
  <c r="D40" i="1"/>
  <c r="D43" i="1" l="1"/>
  <c r="C57" i="35" s="1"/>
  <c r="N7" i="1" l="1"/>
  <c r="N10" i="1"/>
  <c r="N9" i="1"/>
  <c r="N11" i="1"/>
  <c r="N8" i="1"/>
  <c r="D46" i="1"/>
  <c r="C58" i="35" s="1"/>
  <c r="D56" i="1" l="1"/>
  <c r="D58" i="1" s="1"/>
  <c r="E46" i="1" s="1"/>
  <c r="E43" i="1"/>
  <c r="N12" i="1"/>
  <c r="C63" i="35" l="1"/>
  <c r="C65" i="35"/>
  <c r="C66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6" i="35" s="1"/>
  <c r="U12" i="1"/>
  <c r="Z11" i="1"/>
  <c r="AA11" i="1" s="1"/>
  <c r="H11" i="1" s="1"/>
  <c r="W11" i="1"/>
  <c r="X11" i="1" s="1"/>
  <c r="E75" i="1" l="1"/>
  <c r="C77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70" i="35" s="1"/>
  <c r="H55" i="35"/>
  <c r="H70" i="35" s="1"/>
  <c r="F70" i="35"/>
  <c r="I9" i="1"/>
  <c r="F53" i="35"/>
  <c r="I53" i="1"/>
  <c r="I52" i="1" l="1"/>
  <c r="F52" i="35"/>
  <c r="G52" i="35" s="1"/>
  <c r="G67" i="35" s="1"/>
  <c r="F54" i="35"/>
  <c r="H54" i="35" s="1"/>
  <c r="H69" i="35" s="1"/>
  <c r="I10" i="1"/>
  <c r="F68" i="35"/>
  <c r="H53" i="35"/>
  <c r="H68" i="35" s="1"/>
  <c r="G53" i="35"/>
  <c r="G68" i="35" s="1"/>
  <c r="Z12" i="1"/>
  <c r="F51" i="35"/>
  <c r="H52" i="35" l="1"/>
  <c r="H67" i="35" s="1"/>
  <c r="F67" i="35"/>
  <c r="G54" i="35"/>
  <c r="G69" i="35" s="1"/>
  <c r="F69" i="35"/>
  <c r="I7" i="1"/>
  <c r="I51" i="1"/>
  <c r="I56" i="1" s="1"/>
  <c r="I57" i="1" s="1"/>
  <c r="F66" i="35" l="1"/>
  <c r="G51" i="35"/>
  <c r="G66" i="35" s="1"/>
  <c r="H51" i="35"/>
  <c r="H6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<sst xmlns="http://schemas.openxmlformats.org/spreadsheetml/2006/main" count="977" uniqueCount="526">
  <si>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</si>
  <si>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</si>
  <si>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</si>
  <si>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</si>
  <si>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</si>
  <si>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</si>
  <si>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</si>
  <si>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</si>
  <si>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</si>
  <si>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</si>
  <si>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</si>
  <si>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</si>
  <si>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</si>
  <si>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</si>
  <si>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</si>
  <si>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</si>
  <si>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</si>
  <si>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</si>
  <si>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</si>
  <si>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</si>
  <si>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</si>
  <si>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</si>
  <si>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</si>
  <si>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</si>
  <si>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</si>
  <si>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</si>
  <si>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</si>
  <si>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</si>
  <si>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</si>
  <si>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</si>
  <si>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</si>
  <si>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</si>
  <si>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</si>
  <si>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</si>
  <si>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</si>
  <si>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</si>
  <si>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</si>
  <si>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</si>
  <si>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</si>
  <si>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</si>
  <si>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</si>
  <si>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</si>
  <si>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</si>
  <si>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</si>
  <si>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</si>
  <si>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</si>
  <si>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</si>
  <si>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</si>
  <si>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</si>
  <si>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</si>
  <si>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</si>
  <si>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</si>
  <si>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</si>
  <si>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</si>
  <si>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</si>
  <si>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</si>
  <si>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</si>
  <si>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</si>
  <si>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</si>
  <si>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</si>
  <si>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</si>
  <si>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</si>
  <si>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</si>
  <si>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</si>
  <si>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</si>
  <si>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</si>
  <si>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</si>
  <si>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Early PreK</t>
  </si>
  <si>
    <t>Private Tuition</t>
  </si>
  <si>
    <t>Total =</t>
  </si>
  <si>
    <t>Percent subsidy =</t>
  </si>
  <si>
    <t>Annual Cost per Child</t>
  </si>
  <si>
    <t>Annual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</si>
  <si>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</si>
  <si>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</si>
  <si>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</si>
  <si>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</si>
  <si>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</si>
  <si>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</si>
  <si>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</si>
  <si>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</si>
  <si>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</si>
  <si>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</si>
  <si>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</si>
  <si>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</si>
  <si>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</si>
  <si>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</si>
  <si>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</si>
  <si>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</si>
  <si>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</si>
  <si>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</si>
  <si>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</si>
  <si>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</si>
  <si>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</si>
  <si>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</si>
  <si>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</si>
  <si>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</si>
  <si>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</si>
  <si>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</si>
  <si>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</si>
  <si>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</si>
  <si>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</si>
  <si>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</si>
  <si>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</si>
  <si>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</si>
  <si>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</si>
  <si>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</si>
  <si>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</si>
  <si>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</si>
  <si>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</si>
  <si>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</si>
  <si>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</si>
  <si>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</si>
  <si>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</si>
  <si>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</si>
  <si>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</si>
  <si>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</si>
  <si>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</si>
  <si>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</si>
  <si>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</si>
  <si>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</si>
  <si>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</si>
  <si>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</si>
  <si>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</si>
  <si>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</si>
  <si>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</si>
  <si>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</si>
  <si>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</si>
  <si>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</si>
  <si>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</si>
  <si>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</si>
  <si>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</si>
  <si>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</si>
  <si>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</si>
  <si>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</si>
  <si>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</si>
  <si>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</si>
  <si>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</si>
  <si>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</si>
  <si>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</si>
  <si>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</si>
  <si>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</si>
  <si>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</si>
  <si>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</si>
  <si>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</si>
  <si>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</si>
  <si>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</si>
  <si>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</si>
  <si>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</si>
  <si>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</si>
  <si>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</si>
  <si>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</si>
  <si>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</si>
  <si>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</si>
  <si>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</si>
  <si>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</si>
  <si>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</si>
  <si>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</si>
  <si>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</si>
  <si>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</si>
  <si>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</si>
  <si>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</si>
  <si>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</si>
  <si>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</si>
  <si>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</si>
  <si>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</si>
  <si>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</si>
  <si>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</si>
  <si>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</si>
  <si>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</si>
  <si>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</si>
  <si>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Home pays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</si>
  <si>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</si>
  <si>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</si>
  <si>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</si>
  <si>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</si>
  <si>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</si>
  <si>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</si>
  <si>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weekly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</si>
  <si>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</si>
  <si>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</si>
  <si>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</si>
  <si>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</si>
  <si>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</si>
  <si>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</si>
  <si>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</si>
  <si>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</si>
  <si>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</si>
  <si>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</si>
  <si>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</si>
  <si>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</si>
  <si>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</si>
  <si>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</si>
  <si>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</si>
  <si>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</si>
  <si>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</si>
  <si>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</si>
  <si>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</si>
  <si>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</si>
  <si>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</si>
  <si>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</si>
  <si>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</si>
  <si>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</si>
  <si>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</si>
  <si>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</si>
  <si>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</si>
  <si>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</si>
  <si>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</si>
  <si>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</si>
  <si>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</si>
  <si>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</si>
  <si>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</si>
  <si>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</si>
  <si>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</si>
  <si>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</si>
  <si>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</si>
  <si>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</si>
  <si>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</si>
  <si>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</si>
  <si>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</si>
  <si>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</si>
  <si>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</si>
  <si>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</si>
  <si>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</si>
  <si>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</si>
  <si>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</si>
  <si>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</si>
  <si>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</si>
  <si>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</si>
  <si>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</si>
  <si>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</si>
  <si>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</si>
  <si>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</si>
  <si>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</si>
  <si>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</si>
  <si>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</si>
  <si>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</si>
  <si>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</si>
  <si>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</si>
  <si>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</si>
  <si>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</si>
  <si>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</si>
  <si>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</si>
  <si>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</si>
  <si>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</si>
  <si>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</si>
  <si>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</si>
  <si>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</si>
  <si>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</si>
  <si>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</si>
  <si>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</si>
  <si>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</si>
  <si>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</si>
  <si>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</si>
  <si>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</si>
  <si>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</si>
  <si>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</si>
  <si>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</si>
  <si>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</si>
  <si>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</si>
  <si>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</si>
  <si>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</si>
  <si>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</si>
  <si>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</si>
  <si>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</si>
  <si>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</si>
  <si>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</si>
  <si>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</si>
  <si>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</si>
  <si>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</si>
  <si>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</si>
  <si>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</si>
  <si>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</si>
  <si>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</si>
  <si>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</si>
  <si>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</si>
  <si>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</si>
  <si>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</si>
  <si>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</si>
  <si>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</si>
  <si>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</si>
  <si>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</si>
  <si>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</si>
  <si>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</si>
  <si>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</si>
  <si>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</si>
  <si>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</si>
  <si>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</si>
  <si>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</si>
  <si>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</si>
  <si>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</si>
  <si>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</si>
  <si>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</si>
  <si>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</si>
  <si>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</si>
  <si>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</si>
  <si>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</si>
  <si>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</si>
  <si>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</si>
  <si>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</si>
  <si>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</si>
  <si>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</si>
  <si>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</si>
  <si>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</si>
  <si>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</si>
  <si>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</si>
  <si>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</si>
  <si>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</si>
  <si>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</si>
  <si>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</si>
  <si>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</si>
  <si>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</si>
  <si>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</si>
  <si>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</si>
  <si>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</si>
  <si>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</si>
  <si>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</si>
  <si>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</si>
  <si>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</si>
  <si>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</si>
  <si>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</si>
  <si>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</si>
  <si>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</si>
  <si>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</si>
  <si>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</si>
  <si>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</si>
  <si>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</si>
  <si>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</si>
  <si>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</si>
  <si>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</si>
  <si>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</si>
  <si>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</si>
  <si>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</si>
  <si>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</si>
  <si>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</si>
  <si>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</si>
  <si>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</si>
  <si>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</si>
  <si>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</si>
  <si>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</si>
  <si>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</si>
  <si>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</si>
  <si>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</si>
  <si>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</si>
  <si>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</si>
  <si>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</si>
  <si>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</si>
  <si>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</si>
  <si>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</si>
  <si>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</si>
  <si>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</si>
  <si>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</si>
  <si>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</si>
  <si>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</si>
  <si>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</si>
  <si>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</si>
  <si>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</si>
  <si>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</si>
  <si>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</si>
  <si>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</si>
  <si>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</si>
  <si>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</si>
  <si>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</si>
  <si>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</si>
  <si>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</si>
  <si>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</si>
  <si>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</si>
  <si>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</si>
  <si>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</si>
  <si>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</si>
  <si>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</si>
  <si>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</si>
  <si>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</si>
  <si>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</si>
  <si>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</si>
  <si>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</si>
  <si>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</si>
  <si>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</si>
  <si>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</si>
  <si>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</si>
  <si>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</si>
  <si>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</si>
  <si>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</si>
  <si>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</si>
  <si>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</si>
  <si>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</si>
  <si>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</si>
  <si>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</si>
  <si>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</si>
  <si>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</si>
  <si>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</si>
  <si>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</si>
  <si>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</si>
  <si>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</si>
  <si>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</si>
  <si>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</si>
  <si>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</si>
  <si>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</si>
  <si>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</si>
  <si>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</si>
  <si>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</si>
  <si>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</si>
  <si>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</si>
  <si>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</si>
  <si>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</si>
  <si>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</si>
  <si>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</si>
  <si>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</si>
  <si>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</si>
  <si>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</si>
  <si>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https://www.nmececd.org/wp-content/uploads/2021/09/8.15.2-NMAC.pdf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</si>
  <si>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</si>
  <si>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</si>
  <si>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</si>
  <si>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</si>
  <si>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</si>
  <si>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</si>
  <si>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</si>
  <si>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</si>
  <si>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</si>
  <si>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</si>
  <si>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</si>
  <si>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</si>
  <si>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</si>
  <si>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</si>
  <si>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</si>
  <si>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</si>
  <si>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Developed for New Mexico ECECD by Prenatal to Five Fiscal Strategies.</t>
  </si>
  <si>
    <t>Monthly Cost per Child</t>
  </si>
  <si>
    <t>Weekly Cost per Child</t>
  </si>
  <si>
    <t>RESULTS - Program Level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</si>
  <si>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</si>
  <si>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</si>
  <si>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</si>
  <si>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</si>
  <si>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</si>
  <si>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</si>
  <si>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</si>
  <si>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</si>
  <si>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</si>
  <si>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</si>
  <si>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</si>
  <si>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</si>
  <si>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</si>
  <si>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</si>
  <si>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</si>
  <si>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</si>
  <si>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</si>
  <si>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</si>
  <si>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</si>
  <si>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</si>
  <si>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</si>
  <si>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</si>
  <si>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</si>
  <si>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</si>
  <si>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</si>
  <si>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Subsidy Rates FY21</t>
  </si>
  <si>
    <t>Total across subsidy =</t>
  </si>
  <si>
    <t>Modelo de estimación de costos de cuidado infantil de Nuevo México año fiscal 2024</t>
  </si>
  <si>
    <t>Nivel de FOCUS</t>
  </si>
  <si>
    <t>Licencia/Estrella 2</t>
  </si>
  <si>
    <t>Estrella 2+/3</t>
  </si>
  <si>
    <t>Estrella 4</t>
  </si>
  <si>
    <t>Estrella 5</t>
  </si>
  <si>
    <t>HOGARES DE CUIDADO INFANTIL FAMILIAR</t>
  </si>
  <si>
    <t xml:space="preserve">Los elementos en las celdas sombreadas en AMARILLO son para ENTRADA para modelar diferentes 'perfiles' de programas. </t>
  </si>
  <si>
    <t>INSCRIPCIÓN</t>
  </si>
  <si>
    <t># Niños/Edad</t>
  </si>
  <si>
    <t>Grupos de edad</t>
  </si>
  <si>
    <t>Infantes</t>
  </si>
  <si>
    <t>niños de dos años</t>
  </si>
  <si>
    <t>niños de tres años</t>
  </si>
  <si>
    <t>niños de cuatro años</t>
  </si>
  <si>
    <t>edad escolar</t>
  </si>
  <si>
    <t>TOTAL de niños</t>
  </si>
  <si>
    <t>EFICIENCIA</t>
  </si>
  <si>
    <r>
      <rPr>
        <b/>
        <i/>
        <sz val="10"/>
        <color rgb="FF000000"/>
        <rFont val="Arial"/>
        <family val="2"/>
      </rPr>
      <t xml:space="preserve">Matrícula </t>
    </r>
    <r>
      <rPr>
        <i/>
        <sz val="10"/>
        <color rgb="FF000000"/>
        <rFont val="Arial"/>
        <family val="2"/>
      </rPr>
      <t>como % de la capacidad total con personal</t>
    </r>
  </si>
  <si>
    <r>
      <rPr>
        <b/>
        <i/>
        <sz val="10"/>
        <color rgb="FF000000"/>
        <rFont val="Arial"/>
        <family val="2"/>
      </rPr>
      <t xml:space="preserve">Deuda incobrable </t>
    </r>
    <r>
      <rPr>
        <i/>
        <sz val="10"/>
        <color rgb="FF000000"/>
        <rFont val="Arial"/>
        <family val="2"/>
      </rPr>
      <t>como % de los ingresos no recaudados</t>
    </r>
  </si>
  <si>
    <t>85-95% es típico</t>
  </si>
  <si>
    <t>Acerca de 3% es tipico</t>
  </si>
  <si>
    <t>Nivel de salario</t>
  </si>
  <si>
    <t>Salarios</t>
  </si>
  <si>
    <t>Salario mínimo de $15</t>
  </si>
  <si>
    <t>GANANCIA</t>
  </si>
  <si>
    <t>Ingrese el número de niños por edad que reciben cada tipo de subsidio usando solo las celdas AMARILLAS en la tabla a continuación. Pago privado no debe ser negativa</t>
  </si>
  <si>
    <t>Subsidio estatal para cuidado infantil</t>
  </si>
  <si>
    <t>Pago Privado</t>
  </si>
  <si>
    <t>Total de todos los subsidios =</t>
  </si>
  <si>
    <t>Porcentaje de subsidio =</t>
  </si>
  <si>
    <t>RESULTADOS - Nivel de programa</t>
  </si>
  <si>
    <t>Personal total</t>
  </si>
  <si>
    <t>GASTOS</t>
  </si>
  <si>
    <t>Beneficios</t>
  </si>
  <si>
    <t>Administración/Oficina</t>
  </si>
  <si>
    <t>Gastos relacionados con el programa</t>
  </si>
  <si>
    <t>Ocupación</t>
  </si>
  <si>
    <t>Reserva Operativa</t>
  </si>
  <si>
    <t>Recibos de impuestos brutos</t>
  </si>
  <si>
    <t>Total no personal</t>
  </si>
  <si>
    <t>Gastos total</t>
  </si>
  <si>
    <t>INGRESOS</t>
  </si>
  <si>
    <t>Pago privado</t>
  </si>
  <si>
    <t>Subsidio</t>
  </si>
  <si>
    <t>Otros ingresos</t>
  </si>
  <si>
    <t>INGRESOS TOTAL</t>
  </si>
  <si>
    <t>Ajuste por deuda incobrable y eficiencia de inscripción</t>
  </si>
  <si>
    <t>Ingresos anuales menos gastos, ganancias/(pérdidas)</t>
  </si>
  <si>
    <t>Porcentaje de gastos</t>
  </si>
  <si>
    <t>RESULTADOS</t>
  </si>
  <si>
    <t>Costo anual por niño</t>
  </si>
  <si>
    <t>Costo mensual por niño</t>
  </si>
  <si>
    <t>Costo semanal por niño</t>
  </si>
  <si>
    <t>Tasas de subsidio del año fiscal 21</t>
  </si>
  <si>
    <t>Anual, por niño</t>
  </si>
  <si>
    <t>Mensual, por niño</t>
  </si>
  <si>
    <t>Semanal, por niño</t>
  </si>
  <si>
    <t>Brecha</t>
  </si>
  <si>
    <t>CPC con diferencia de edad</t>
  </si>
  <si>
    <t xml:space="preserve">CPC Anual </t>
  </si>
  <si>
    <t xml:space="preserve">CPC Mensual </t>
  </si>
  <si>
    <t xml:space="preserve">CPC Semanal </t>
  </si>
  <si>
    <t>Anual</t>
  </si>
  <si>
    <t>Mensual</t>
  </si>
  <si>
    <t>Semanal</t>
  </si>
  <si>
    <t>Desarrollado para New Mexico ECECD por Prenatal to Five Fiscal Strategies.</t>
  </si>
  <si>
    <t>Brecha con diferencia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</si>
</sst>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b/>
      <i/>
      <sz val="1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85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10" fillId="0" borderId="32" xfId="0" applyFont="1" applyBorder="1"/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7" fillId="29" borderId="0" xfId="63" applyFill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6" fontId="0" fillId="38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7" fillId="38" borderId="19" xfId="0" applyFont="1" applyFill="1" applyBorder="1" applyAlignment="1">
      <alignment horizontal="left" wrapText="1"/>
    </xf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54" fillId="0" borderId="0" xfId="0" applyFont="1"/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6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2" fillId="27" borderId="55" xfId="0" applyFont="1" applyFill="1" applyBorder="1" applyAlignment="1" applyProtection="1">
      <alignment vertical="center"/>
      <protection locked="0"/>
    </xf>
    <xf numFmtId="0" fontId="9" fillId="0" borderId="55" xfId="63" applyFont="1" applyBorder="1"/>
    <xf numFmtId="44" fontId="0" fillId="29" borderId="20" xfId="28" applyFont="1" applyFill="1" applyBorder="1"/>
    <xf numFmtId="0" fontId="0" fillId="29" borderId="32" xfId="0" applyFill="1" applyBorder="1"/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0" fontId="96" fillId="0" borderId="23" xfId="63" applyFont="1" applyBorder="1"/>
    <xf numFmtId="0" fontId="9" fillId="30" borderId="50" xfId="0" applyFont="1" applyFill="1" applyBorder="1" applyAlignment="1">
      <alignment wrapText="1"/>
    </xf>
    <xf numFmtId="6" fontId="0" fillId="30" borderId="0" xfId="0" applyNumberFormat="1" applyFill="1" applyBorder="1" applyAlignment="1">
      <alignment horizontal="center" vertical="center"/>
    </xf>
    <xf numFmtId="0" fontId="9" fillId="45" borderId="50" xfId="63" applyFont="1" applyFill="1" applyBorder="1" applyAlignment="1">
      <alignment horizontal="left" wrapText="1"/>
    </xf>
    <xf numFmtId="0" fontId="9" fillId="45" borderId="51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7" fillId="38" borderId="39" xfId="0" applyFont="1" applyFill="1" applyBorder="1"/>
    <xf numFmtId="0" fontId="7" fillId="0" borderId="0" xfId="63" applyBorder="1"/>
    <xf numFmtId="6" fontId="7" fillId="38" borderId="0" xfId="63" applyNumberFormat="1" applyFill="1" applyBorder="1" applyAlignment="1">
      <alignment horizontal="center"/>
    </xf>
    <xf numFmtId="6" fontId="0" fillId="34" borderId="0" xfId="0" applyNumberFormat="1" applyFill="1" applyBorder="1" applyAlignment="1">
      <alignment horizontal="center" vertical="center"/>
    </xf>
    <xf numFmtId="0" fontId="45" fillId="0" borderId="0" xfId="63" applyFont="1" applyBorder="1"/>
    <xf numFmtId="6" fontId="7" fillId="45" borderId="0" xfId="63" applyNumberFormat="1" applyFill="1" applyBorder="1" applyAlignment="1">
      <alignment horizontal="center" vertical="center"/>
    </xf>
    <xf numFmtId="0" fontId="0" fillId="0" borderId="0" xfId="0" applyBorder="1"/>
    <xf numFmtId="0" fontId="7" fillId="29" borderId="22" xfId="63" applyFill="1" applyBorder="1"/>
    <xf numFmtId="0" fontId="45" fillId="0" borderId="49" xfId="0" applyFont="1" applyBorder="1"/>
    <xf numFmtId="0" fontId="7" fillId="40" borderId="0" xfId="63" applyFill="1" applyBorder="1"/>
    <xf numFmtId="0" fontId="45" fillId="0" borderId="0" xfId="0" applyFont="1" applyBorder="1"/>
    <xf numFmtId="0" fontId="36" fillId="0" borderId="0" xfId="63" applyFont="1" applyBorder="1"/>
    <xf numFmtId="0" fontId="9" fillId="0" borderId="0" xfId="63" applyFont="1" applyBorder="1" applyAlignment="1">
      <alignment horizontal="center"/>
    </xf>
    <xf numFmtId="0" fontId="34" fillId="0" borderId="0" xfId="63" applyFont="1" applyBorder="1" applyAlignment="1">
      <alignment horizontal="left"/>
    </xf>
    <xf numFmtId="0" fontId="10" fillId="0" borderId="0" xfId="63" applyFont="1" applyBorder="1"/>
    <xf numFmtId="0" fontId="34" fillId="0" borderId="0" xfId="63" applyFont="1" applyBorder="1" applyAlignment="1">
      <alignment horizontal="right"/>
    </xf>
    <xf numFmtId="0" fontId="7" fillId="0" borderId="0" xfId="63" applyBorder="1" applyAlignment="1">
      <alignment wrapText="1"/>
    </xf>
    <xf numFmtId="20" fontId="7" fillId="0" borderId="0" xfId="63" quotePrefix="1" applyNumberFormat="1" applyBorder="1" applyAlignment="1">
      <alignment horizontal="right"/>
    </xf>
    <xf numFmtId="0" fontId="55" fillId="0" borderId="0" xfId="60" applyFont="1" applyBorder="1" applyAlignment="1">
      <alignment vertical="top"/>
    </xf>
    <xf numFmtId="16" fontId="55" fillId="0" borderId="0" xfId="60" quotePrefix="1" applyNumberFormat="1" applyFont="1" applyBorder="1" applyAlignment="1">
      <alignment vertical="top"/>
    </xf>
    <xf numFmtId="0" fontId="9" fillId="0" borderId="0" xfId="63" applyFont="1" applyBorder="1"/>
    <xf numFmtId="0" fontId="10" fillId="0" borderId="0" xfId="63" applyFont="1" applyBorder="1" applyAlignment="1"/>
    <xf numFmtId="0" fontId="39" fillId="0" borderId="0" xfId="63" applyFont="1" applyBorder="1"/>
    <xf numFmtId="0" fontId="9" fillId="0" borderId="0" xfId="0" applyFont="1" applyBorder="1" applyAlignment="1">
      <alignment horizontal="center" vertical="center"/>
    </xf>
    <xf numFmtId="0" fontId="54" fillId="0" borderId="0" xfId="0" applyFont="1" applyBorder="1"/>
    <xf numFmtId="0" fontId="9" fillId="0" borderId="0" xfId="0" applyFont="1" applyBorder="1"/>
    <xf numFmtId="0" fontId="97" fillId="0" borderId="0" xfId="63" applyFont="1" applyBorder="1"/>
    <xf numFmtId="0" fontId="45" fillId="0" borderId="0" xfId="0" applyFont="1" applyBorder="1" applyAlignment="1">
      <alignment horizont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/>
    <xf numFmtId="0" fontId="48" fillId="0" borderId="0" xfId="0" applyFont="1" applyBorder="1"/>
    <xf numFmtId="0" fontId="54" fillId="0" borderId="0" xfId="0" applyFont="1" applyBorder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 vertical="top"/>
    </xf>
    <xf numFmtId="6" fontId="0" fillId="0" borderId="0" xfId="0" applyNumberFormat="1" applyBorder="1"/>
    <xf numFmtId="6" fontId="0" fillId="0" borderId="0" xfId="0" applyNumberFormat="1" applyBorder="1" applyAlignment="1">
      <alignment horizontal="left" vertical="top"/>
    </xf>
    <xf numFmtId="6" fontId="9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/>
    </xf>
    <xf numFmtId="0" fontId="0" fillId="0" borderId="0" xfId="0" applyFill="1" applyBorder="1"/>
    <xf numFmtId="164" fontId="9" fillId="30" borderId="31" xfId="28" applyNumberFormat="1" applyFont="1" applyFill="1" applyBorder="1" applyAlignment="1">
      <alignment horizontal="center" vertical="center"/>
    </xf>
    <xf numFmtId="164" fontId="0" fillId="30" borderId="31" xfId="28" applyNumberFormat="1" applyFont="1" applyFill="1" applyBorder="1" applyAlignment="1">
      <alignment horizontal="center" vertical="center"/>
    </xf>
    <xf numFmtId="164" fontId="0" fillId="30" borderId="0" xfId="28" applyNumberFormat="1" applyFont="1" applyFill="1" applyBorder="1" applyAlignment="1">
      <alignment horizontal="center" vertical="center"/>
    </xf>
    <xf numFmtId="164" fontId="0" fillId="30" borderId="32" xfId="28" applyNumberFormat="1" applyFont="1" applyFill="1" applyBorder="1" applyAlignment="1">
      <alignment horizontal="center" vertical="center"/>
    </xf>
    <xf numFmtId="0" fontId="7" fillId="29" borderId="19" xfId="63" applyFill="1" applyBorder="1"/>
    <xf numFmtId="0" fontId="7" fillId="29" borderId="0" xfId="63" applyFill="1" applyBorder="1"/>
    <xf numFmtId="0" fontId="45" fillId="29" borderId="19" xfId="0" applyFont="1" applyFill="1" applyBorder="1"/>
    <xf numFmtId="0" fontId="48" fillId="29" borderId="0" xfId="63" applyFont="1" applyFill="1" applyBorder="1"/>
    <xf numFmtId="0" fontId="48" fillId="29" borderId="19" xfId="63" applyFont="1" applyFill="1" applyBorder="1"/>
    <xf numFmtId="0" fontId="34" fillId="29" borderId="19" xfId="63" applyFont="1" applyFill="1" applyBorder="1" applyAlignment="1">
      <alignment horizontal="right"/>
    </xf>
    <xf numFmtId="0" fontId="34" fillId="29" borderId="0" xfId="63" applyFont="1" applyFill="1" applyBorder="1" applyAlignment="1">
      <alignment horizontal="left"/>
    </xf>
    <xf numFmtId="0" fontId="0" fillId="29" borderId="19" xfId="0" applyFill="1" applyBorder="1"/>
    <xf numFmtId="0" fontId="0" fillId="29" borderId="0" xfId="0" applyFill="1" applyBorder="1"/>
    <xf numFmtId="0" fontId="45" fillId="29" borderId="19" xfId="63" applyFont="1" applyFill="1" applyBorder="1"/>
    <xf numFmtId="0" fontId="45" fillId="29" borderId="0" xfId="0" applyFont="1" applyFill="1" applyBorder="1"/>
    <xf numFmtId="0" fontId="48" fillId="29" borderId="0" xfId="0" applyFont="1" applyFill="1" applyBorder="1"/>
    <xf numFmtId="8" fontId="7" fillId="29" borderId="19" xfId="63" applyNumberFormat="1" applyFill="1" applyBorder="1"/>
    <xf numFmtId="0" fontId="7" fillId="29" borderId="32" xfId="63" applyFill="1" applyBorder="1"/>
    <xf numFmtId="0" fontId="10" fillId="29" borderId="21" xfId="0" applyFont="1" applyFill="1" applyBorder="1"/>
    <xf numFmtId="0" fontId="7" fillId="29" borderId="31" xfId="63" applyFill="1" applyBorder="1"/>
    <xf numFmtId="0" fontId="45" fillId="29" borderId="0" xfId="63" applyFont="1" applyFill="1" applyBorder="1"/>
    <xf numFmtId="0" fontId="7" fillId="29" borderId="23" xfId="63" applyFill="1" applyBorder="1"/>
    <xf numFmtId="6" fontId="0" fillId="29" borderId="0" xfId="0" applyNumberFormat="1" applyFill="1" applyBorder="1" applyAlignment="1">
      <alignment horizontal="center" vertical="center"/>
    </xf>
    <xf numFmtId="44" fontId="0" fillId="29" borderId="0" xfId="28" applyFont="1" applyFill="1" applyBorder="1"/>
    <xf numFmtId="0" fontId="7" fillId="38" borderId="19" xfId="0" applyFont="1" applyFill="1" applyBorder="1" applyAlignment="1">
      <alignment horizontal="left" vertical="center"/>
    </xf>
    <xf numFmtId="167" fontId="7" fillId="38" borderId="20" xfId="0" applyNumberFormat="1" applyFont="1" applyFill="1" applyBorder="1" applyAlignment="1">
      <alignment vertical="center"/>
    </xf>
    <xf numFmtId="0" fontId="9" fillId="34" borderId="23" xfId="0" applyFont="1" applyFill="1" applyBorder="1" applyAlignment="1">
      <alignment wrapText="1"/>
    </xf>
    <xf numFmtId="0" fontId="7" fillId="0" borderId="11" xfId="0" applyFont="1" applyBorder="1" applyAlignment="1" applyProtection="1">
      <alignment horizontal="center" vertic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5F1"/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mececd.org/wp-content/uploads/2021/09/8.15.2-NMAC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60"/>
  <sheetViews>
    <sheetView zoomScale="140" zoomScaleNormal="140" workbookViewId="0">
      <selection activeCell="F45" sqref="F45"/>
    </sheetView>
  </sheetViews>
  <sheetFormatPr baseColWidth="10" defaultColWidth="8.83203125" defaultRowHeight="13"/>
  <cols>
    <col min="1" max="1" width="3.1640625" style="450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50" customWidth="1"/>
    <col min="10" max="10" width="14.5" style="450" customWidth="1"/>
    <col min="11" max="11" width="16.83203125" style="450" customWidth="1"/>
    <col min="12" max="12" width="11" style="450" customWidth="1"/>
    <col min="13" max="13" width="11.1640625" style="450" customWidth="1"/>
    <col min="14" max="36" width="8.83203125" style="450"/>
  </cols>
  <sheetData>
    <row r="1" spans="1:14" s="450" customFormat="1" ht="14" thickBot="1"/>
    <row r="2" spans="1:14" ht="18" customHeight="1">
      <c r="A2" s="529"/>
      <c r="B2" s="472" t="s">
        <v>453</v>
      </c>
      <c r="C2" s="420"/>
      <c r="D2" s="420"/>
      <c r="E2" s="420"/>
      <c r="F2" s="505" t="s">
        <v>454</v>
      </c>
      <c r="G2" s="592" t="s">
        <v>2</v>
      </c>
      <c r="H2" s="473"/>
      <c r="I2" s="449" t="s">
        <v>2</v>
      </c>
      <c r="J2" s="449" t="s">
        <v>1</v>
      </c>
      <c r="K2" s="449" t="s">
        <v>3</v>
      </c>
      <c r="L2" s="449" t="s">
        <v>4</v>
      </c>
      <c r="M2" s="449"/>
      <c r="N2" s="449"/>
    </row>
    <row r="3" spans="1:14" ht="22" customHeight="1">
      <c r="A3" s="529"/>
      <c r="B3" s="474" t="s">
        <v>5</v>
      </c>
      <c r="F3" s="579" t="s">
        <v>6</v>
      </c>
      <c r="G3" s="591" t="s">
        <v>7</v>
      </c>
      <c r="H3" s="423"/>
      <c r="I3" s="449" t="s">
        <v>7</v>
      </c>
      <c r="J3" s="449"/>
      <c r="K3" s="449"/>
      <c r="L3" s="449"/>
      <c r="M3" s="449"/>
      <c r="N3" s="449"/>
    </row>
    <row r="4" spans="1:14" ht="8" customHeight="1">
      <c r="A4" s="529"/>
      <c r="B4" s="2"/>
      <c r="F4" s="29"/>
      <c r="G4" s="29"/>
      <c r="H4" s="423"/>
      <c r="I4" s="451"/>
      <c r="J4" s="451"/>
      <c r="K4" s="451"/>
      <c r="L4" s="451"/>
      <c r="M4" s="451"/>
    </row>
    <row r="5" spans="1:14" ht="14">
      <c r="A5" s="529"/>
      <c r="B5" s="475" t="s">
        <v>452</v>
      </c>
      <c r="C5" s="476"/>
      <c r="D5" s="476"/>
      <c r="E5" s="476"/>
      <c r="F5" s="476"/>
      <c r="G5" s="476"/>
      <c r="H5" s="477"/>
      <c r="I5" s="452"/>
      <c r="J5" s="452"/>
    </row>
    <row r="6" spans="1:14">
      <c r="A6" s="529"/>
      <c r="H6" s="423"/>
      <c r="I6" s="453"/>
      <c r="K6" s="454"/>
      <c r="L6" s="453"/>
      <c r="M6" s="455"/>
    </row>
    <row r="7" spans="1:14">
      <c r="A7" s="529"/>
      <c r="B7" s="23" t="s">
        <v>8</v>
      </c>
      <c r="C7" s="478" t="s">
        <v>9</v>
      </c>
      <c r="D7" s="479" t="s">
        <v>10</v>
      </c>
      <c r="E7" s="479" t="s">
        <v>0</v>
      </c>
      <c r="F7" s="480" t="s">
        <v>11</v>
      </c>
      <c r="G7" s="481" t="s">
        <v>12</v>
      </c>
      <c r="H7" s="482"/>
      <c r="I7" s="453"/>
      <c r="L7" s="453"/>
    </row>
    <row r="8" spans="1:14" ht="12.75" customHeight="1">
      <c r="A8" s="529"/>
      <c r="B8" s="10"/>
      <c r="C8" s="483">
        <f>G8*F8</f>
        <v>12</v>
      </c>
      <c r="D8" s="484" t="s">
        <v>13</v>
      </c>
      <c r="E8" s="480">
        <f>IF($G$2="Licensing/Star 2",Ratios!B3,IF($G$2="Star 2+/3",Ratios!C3,IF($G$2="Star 4",Ratios!D3,IF($G$2="Star 5",Ratios!E3,))))</f>
        <v>6</v>
      </c>
      <c r="F8" s="480">
        <f>IF($G$2="Licensing/Star 2",Ratios!B10,IF($G$2="Star 2+/3",Ratios!C10,IF($G$2="Star 4",Ratios!D10,IF($G$2="Star 5",Ratios!E10,))))</f>
        <v>12</v>
      </c>
      <c r="G8" s="88">
        <v>1</v>
      </c>
      <c r="H8" s="423"/>
      <c r="I8" s="456"/>
      <c r="J8" s="456"/>
      <c r="L8" s="457"/>
      <c r="M8" s="458"/>
    </row>
    <row r="9" spans="1:14" ht="12.75" customHeight="1">
      <c r="A9" s="529"/>
      <c r="B9" s="10"/>
      <c r="C9" s="483">
        <f t="shared" ref="C9:C12" si="0">G9*F9</f>
        <v>20</v>
      </c>
      <c r="D9" s="484" t="s">
        <v>14</v>
      </c>
      <c r="E9" s="480">
        <f>IF($G$2="Licensing/Star 2",Ratios!B4,IF($G$2="Star 2+/3",Ratios!C4,IF($G$2="Star 4",Ratios!D4,IF($G$2="Star 5",Ratios!E4,))))</f>
        <v>10</v>
      </c>
      <c r="F9" s="480">
        <f>IF($G$2="Licensing/Star 2",Ratios!B11,IF($G$2="Star 2+/3",Ratios!C11,IF($G$2="Star 4",Ratios!D11,IF($G$2="Star 5",Ratios!E11,))))</f>
        <v>20</v>
      </c>
      <c r="G9" s="89">
        <v>1</v>
      </c>
      <c r="H9" s="423"/>
      <c r="I9" s="456"/>
      <c r="J9" s="456"/>
      <c r="L9" s="457"/>
      <c r="M9" s="458"/>
    </row>
    <row r="10" spans="1:14" ht="12.75" customHeight="1">
      <c r="A10" s="529"/>
      <c r="B10" s="34"/>
      <c r="C10" s="483">
        <f t="shared" si="0"/>
        <v>24</v>
      </c>
      <c r="D10" s="484" t="s">
        <v>15</v>
      </c>
      <c r="E10" s="480">
        <f>IF($G$2="Licensing/Star 2",Ratios!B5,IF($G$2="Star 2+/3",Ratios!C5,IF($G$2="Star 4",Ratios!D5,IF($G$2="Star 5",Ratios!E5,))))</f>
        <v>12</v>
      </c>
      <c r="F10" s="480" cm="1">
        <f t="array" ref="F10">IF($G$2="Licensing/Star 2",Ratios!B12,IF($G$2="Star 2+/3",Ratios!C12,IF($G$2="Star 4",Ratios!D12,IF($G$2="Star 5",Ratios!E12,I))))</f>
        <v>24</v>
      </c>
      <c r="G10" s="89">
        <v>1</v>
      </c>
      <c r="H10" s="423"/>
      <c r="I10" s="456"/>
      <c r="J10" s="456"/>
      <c r="L10" s="457"/>
      <c r="M10" s="458"/>
    </row>
    <row r="11" spans="1:14" ht="12.75" customHeight="1">
      <c r="A11" s="529"/>
      <c r="C11" s="483">
        <f t="shared" si="0"/>
        <v>24</v>
      </c>
      <c r="D11" s="484" t="s">
        <v>16</v>
      </c>
      <c r="E11" s="480">
        <f>IF($G$2="Licensing/Star 2",Ratios!B6,IF($G$2="Star 2+/3",Ratios!C6,IF($G$2="Star 4",Ratios!D6,IF($G$2="Star 5",Ratios!E6,))))</f>
        <v>12</v>
      </c>
      <c r="F11" s="480">
        <f>IF($G$2="Licensing/Star 2",Ratios!B13,IF($G$2="Star 2+/3",Ratios!C13,IF($G$2="Star 4",Ratios!D13,IF($G$2="Star 5",Ratios!E13,))))</f>
        <v>24</v>
      </c>
      <c r="G11" s="89">
        <v>1</v>
      </c>
      <c r="H11" s="423"/>
      <c r="J11" s="459"/>
    </row>
    <row r="12" spans="1:14" ht="12.75" customHeight="1">
      <c r="A12" s="529"/>
      <c r="C12" s="483">
        <f t="shared" si="0"/>
        <v>30</v>
      </c>
      <c r="D12" s="484" t="s">
        <v>17</v>
      </c>
      <c r="E12" s="480">
        <f>IF($G$2="Licensing/Star 2",Ratios!B7,IF($G$2="Star 2+/3",Ratios!C7,IF($G$2="Star 4",Ratios!D7,IF($G$2="Star 5",Ratios!E7,))))</f>
        <v>15</v>
      </c>
      <c r="F12" s="480">
        <f>IF($G$2="Licensing/Star 2",Ratios!B14,IF($G$2="Star 2+/3",Ratios!C14,IF($G$2="Star 4",Ratios!D14,IF($G$2="Star 5",Ratios!E14,))))</f>
        <v>30</v>
      </c>
      <c r="G12" s="89">
        <v>1</v>
      </c>
      <c r="H12" s="423"/>
      <c r="J12" s="459"/>
    </row>
    <row r="13" spans="1:14" ht="12.75" customHeight="1">
      <c r="A13" s="529"/>
      <c r="B13" s="21" t="s">
        <v>18</v>
      </c>
      <c r="C13" s="478">
        <f>SUM(C8:C12)</f>
        <v>110</v>
      </c>
      <c r="G13" s="2">
        <f>SUM(G8:G12)</f>
        <v>5</v>
      </c>
      <c r="H13" s="485" t="s">
        <v>19</v>
      </c>
      <c r="J13" s="459"/>
    </row>
    <row r="14" spans="1:14" ht="12.75" customHeight="1">
      <c r="A14" s="529"/>
      <c r="B14" s="21"/>
      <c r="C14" s="478"/>
      <c r="G14" s="2"/>
      <c r="H14" s="485"/>
      <c r="J14" s="459"/>
    </row>
    <row r="15" spans="1:14" ht="12.75" hidden="1" customHeight="1">
      <c r="A15" s="529"/>
      <c r="B15" s="23" t="s">
        <v>20</v>
      </c>
      <c r="C15" s="478"/>
      <c r="E15" s="2"/>
      <c r="G15" s="2"/>
      <c r="H15" s="485"/>
      <c r="J15" s="459"/>
    </row>
    <row r="16" spans="1:14" ht="17" hidden="1" customHeight="1">
      <c r="A16" s="529"/>
      <c r="B16" s="32" t="s">
        <v>21</v>
      </c>
      <c r="C16" s="440" t="s">
        <v>22</v>
      </c>
      <c r="E16" s="486" t="s">
        <v>23</v>
      </c>
      <c r="F16" s="486" t="s">
        <v>22</v>
      </c>
      <c r="G16" s="487"/>
      <c r="H16" s="488"/>
      <c r="J16" s="459"/>
    </row>
    <row r="17" spans="1:15" ht="16" hidden="1" customHeight="1">
      <c r="A17" s="529"/>
      <c r="B17" s="32" t="s">
        <v>24</v>
      </c>
      <c r="C17" s="441" t="s">
        <v>27</v>
      </c>
      <c r="E17" s="486" t="s">
        <v>26</v>
      </c>
      <c r="F17" s="486" t="s">
        <v>25</v>
      </c>
      <c r="G17" s="486" t="s">
        <v>27</v>
      </c>
      <c r="H17" s="488"/>
      <c r="J17" s="459"/>
    </row>
    <row r="18" spans="1:15" hidden="1">
      <c r="A18" s="529"/>
      <c r="H18" s="423"/>
    </row>
    <row r="19" spans="1:15" ht="13" customHeight="1">
      <c r="A19" s="529"/>
      <c r="B19" s="489" t="s">
        <v>28</v>
      </c>
      <c r="C19" s="490" t="s">
        <v>29</v>
      </c>
      <c r="E19" s="442">
        <v>0.85</v>
      </c>
      <c r="F19" s="5" t="s">
        <v>30</v>
      </c>
      <c r="H19" s="477"/>
    </row>
    <row r="20" spans="1:15">
      <c r="A20" s="529"/>
      <c r="B20" s="491"/>
      <c r="C20" s="490" t="s">
        <v>31</v>
      </c>
      <c r="E20" s="442">
        <v>0.03</v>
      </c>
      <c r="F20" s="5" t="s">
        <v>32</v>
      </c>
      <c r="H20" s="423"/>
    </row>
    <row r="21" spans="1:15">
      <c r="A21" s="529"/>
      <c r="G21" s="29" t="s">
        <v>33</v>
      </c>
      <c r="H21" s="423"/>
    </row>
    <row r="22" spans="1:15">
      <c r="A22" s="529"/>
      <c r="B22" s="489" t="s">
        <v>34</v>
      </c>
      <c r="C22" s="492" t="s">
        <v>35</v>
      </c>
      <c r="D22" s="493" t="s">
        <v>36</v>
      </c>
      <c r="E22" s="493" t="s">
        <v>37</v>
      </c>
      <c r="F22" s="493" t="s">
        <v>38</v>
      </c>
      <c r="G22" s="493" t="s">
        <v>39</v>
      </c>
      <c r="H22" s="494" t="s">
        <v>40</v>
      </c>
    </row>
    <row r="23" spans="1:15" ht="18" customHeight="1">
      <c r="A23" s="529"/>
      <c r="B23" s="590" t="s">
        <v>41</v>
      </c>
      <c r="C23" s="93" t="s">
        <v>455</v>
      </c>
      <c r="D23" s="589" t="s">
        <v>402</v>
      </c>
      <c r="E23" s="495"/>
      <c r="F23" s="5"/>
      <c r="G23" s="493"/>
      <c r="H23" s="494"/>
      <c r="I23" s="449" t="s">
        <v>44</v>
      </c>
      <c r="J23" s="449" t="s">
        <v>42</v>
      </c>
      <c r="K23" s="449" t="s">
        <v>45</v>
      </c>
      <c r="L23" s="449" t="s">
        <v>46</v>
      </c>
      <c r="M23" s="449" t="s">
        <v>402</v>
      </c>
      <c r="N23" s="449" t="s">
        <v>403</v>
      </c>
      <c r="O23" s="449" t="s">
        <v>425</v>
      </c>
    </row>
    <row r="24" spans="1:15" ht="19" hidden="1" customHeight="1">
      <c r="A24" s="529"/>
      <c r="B24" s="495"/>
      <c r="C24" s="95"/>
      <c r="D24" s="96"/>
      <c r="E24" s="496"/>
      <c r="F24" s="580" t="s">
        <v>47</v>
      </c>
      <c r="G24" s="581" t="s">
        <v>48</v>
      </c>
      <c r="H24" s="582" t="s">
        <v>49</v>
      </c>
      <c r="I24" s="449"/>
      <c r="J24" s="449"/>
      <c r="K24" s="449"/>
      <c r="L24" s="449"/>
      <c r="M24" s="449"/>
      <c r="N24" s="449"/>
    </row>
    <row r="25" spans="1:15" ht="17" hidden="1" customHeight="1" thickBot="1">
      <c r="A25" s="529"/>
      <c r="B25" s="476"/>
      <c r="C25" s="586" t="s">
        <v>50</v>
      </c>
      <c r="F25" s="583">
        <v>33.18</v>
      </c>
      <c r="G25" s="584">
        <v>24</v>
      </c>
      <c r="H25" s="585">
        <v>24</v>
      </c>
    </row>
    <row r="26" spans="1:15" ht="17" customHeight="1">
      <c r="A26" s="529"/>
      <c r="E26" s="29"/>
      <c r="G26" s="283"/>
      <c r="H26" s="423"/>
    </row>
    <row r="27" spans="1:15" ht="16" hidden="1" customHeight="1">
      <c r="A27" s="529"/>
      <c r="B27" s="489" t="s">
        <v>51</v>
      </c>
      <c r="C27" s="29" t="s">
        <v>52</v>
      </c>
      <c r="D27" s="441" t="s">
        <v>35</v>
      </c>
      <c r="E27" s="5" t="s">
        <v>53</v>
      </c>
      <c r="H27" s="423"/>
    </row>
    <row r="28" spans="1:15" ht="18" hidden="1" customHeight="1">
      <c r="A28" s="529"/>
      <c r="B28" s="2"/>
      <c r="C28" s="29" t="s">
        <v>54</v>
      </c>
      <c r="D28" s="440">
        <v>10</v>
      </c>
      <c r="E28" s="497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23"/>
    </row>
    <row r="29" spans="1:15" ht="17" hidden="1" customHeight="1">
      <c r="A29" s="529"/>
      <c r="C29" s="29" t="s">
        <v>55</v>
      </c>
      <c r="D29" s="440">
        <v>10</v>
      </c>
      <c r="E29" s="5" t="s">
        <v>56</v>
      </c>
      <c r="H29" s="423"/>
    </row>
    <row r="30" spans="1:15" ht="16" hidden="1" customHeight="1">
      <c r="A30" s="529"/>
      <c r="H30" s="423"/>
    </row>
    <row r="31" spans="1:15" hidden="1">
      <c r="A31" s="529"/>
      <c r="B31" s="498" t="s">
        <v>57</v>
      </c>
      <c r="H31" s="423"/>
    </row>
    <row r="32" spans="1:15" hidden="1">
      <c r="A32" s="529"/>
      <c r="B32" s="29" t="s">
        <v>58</v>
      </c>
      <c r="C32" s="29" t="s">
        <v>59</v>
      </c>
      <c r="D32" s="87">
        <v>0</v>
      </c>
      <c r="E32" s="499" t="s">
        <v>60</v>
      </c>
      <c r="F32" s="11">
        <v>500</v>
      </c>
      <c r="H32" s="423"/>
    </row>
    <row r="33" spans="1:36" hidden="1">
      <c r="A33" s="529"/>
      <c r="B33" s="29" t="s">
        <v>61</v>
      </c>
      <c r="C33" s="29" t="s">
        <v>62</v>
      </c>
      <c r="D33" s="231">
        <v>0</v>
      </c>
      <c r="E33" s="5" t="s">
        <v>63</v>
      </c>
      <c r="F33" s="11"/>
      <c r="H33" s="423"/>
    </row>
    <row r="34" spans="1:36" hidden="1">
      <c r="A34" s="529"/>
      <c r="B34" s="29"/>
      <c r="C34" s="29"/>
      <c r="E34" s="5"/>
      <c r="G34" s="500"/>
      <c r="H34" s="423"/>
    </row>
    <row r="35" spans="1:36" hidden="1">
      <c r="A35" s="529"/>
      <c r="B35" s="29"/>
      <c r="C35" s="29"/>
      <c r="D35" s="11"/>
      <c r="E35" s="5"/>
      <c r="G35" s="500"/>
      <c r="H35" s="423"/>
    </row>
    <row r="36" spans="1:36">
      <c r="A36" s="529"/>
      <c r="B36" s="489" t="s">
        <v>64</v>
      </c>
      <c r="E36" s="5"/>
      <c r="H36" s="423"/>
    </row>
    <row r="37" spans="1:36">
      <c r="A37" s="529"/>
      <c r="B37" s="501" t="s">
        <v>65</v>
      </c>
      <c r="D37" s="16"/>
      <c r="E37" s="16"/>
      <c r="H37" s="423"/>
    </row>
    <row r="38" spans="1:36">
      <c r="A38" s="529"/>
      <c r="B38" s="527"/>
      <c r="C38" s="2" t="s">
        <v>66</v>
      </c>
      <c r="D38" s="2" t="s">
        <v>68</v>
      </c>
      <c r="G38" s="450"/>
      <c r="H38" s="600"/>
      <c r="I38" s="460"/>
      <c r="J38" s="461"/>
      <c r="AI38"/>
      <c r="AJ38"/>
    </row>
    <row r="39" spans="1:36" ht="14">
      <c r="A39" s="529"/>
      <c r="B39" s="203" t="str">
        <f>D8</f>
        <v>Infants</v>
      </c>
      <c r="C39" s="443">
        <v>1</v>
      </c>
      <c r="D39" s="241">
        <f>C8-C39</f>
        <v>11</v>
      </c>
      <c r="G39" s="450"/>
      <c r="H39" s="600"/>
      <c r="I39" s="460"/>
      <c r="J39" s="461"/>
      <c r="AI39"/>
      <c r="AJ39"/>
    </row>
    <row r="40" spans="1:36" ht="14">
      <c r="A40" s="529"/>
      <c r="B40" s="203" t="str">
        <f t="shared" ref="B40:B43" si="1">D9</f>
        <v>Two-year-olds</v>
      </c>
      <c r="C40" s="443">
        <v>1</v>
      </c>
      <c r="D40" s="241">
        <f t="shared" ref="D40:D44" si="2">C9-C40</f>
        <v>19</v>
      </c>
      <c r="G40" s="450"/>
      <c r="H40" s="600"/>
      <c r="I40" s="462"/>
      <c r="J40" s="461"/>
      <c r="AI40"/>
      <c r="AJ40"/>
    </row>
    <row r="41" spans="1:36" ht="14">
      <c r="A41" s="529"/>
      <c r="B41" s="203" t="str">
        <f t="shared" si="1"/>
        <v>Three-year-olds</v>
      </c>
      <c r="C41" s="443">
        <v>1</v>
      </c>
      <c r="D41" s="241">
        <f t="shared" si="2"/>
        <v>23</v>
      </c>
      <c r="G41" s="450"/>
      <c r="H41" s="600"/>
      <c r="I41" s="460"/>
      <c r="J41" s="461"/>
      <c r="AI41"/>
      <c r="AJ41"/>
    </row>
    <row r="42" spans="1:36" ht="14">
      <c r="A42" s="529"/>
      <c r="B42" s="203" t="str">
        <f t="shared" si="1"/>
        <v>Four-year-olds</v>
      </c>
      <c r="C42" s="443">
        <v>1</v>
      </c>
      <c r="D42" s="241">
        <f t="shared" si="2"/>
        <v>23</v>
      </c>
      <c r="G42" s="450"/>
      <c r="H42" s="600"/>
      <c r="I42" s="463"/>
      <c r="J42" s="461"/>
      <c r="AI42"/>
      <c r="AJ42"/>
    </row>
    <row r="43" spans="1:36" ht="14">
      <c r="A43" s="529"/>
      <c r="B43" s="203" t="str">
        <f t="shared" si="1"/>
        <v>School age</v>
      </c>
      <c r="C43" s="443">
        <v>1</v>
      </c>
      <c r="D43" s="241">
        <f t="shared" si="2"/>
        <v>29</v>
      </c>
      <c r="G43" s="450"/>
      <c r="H43" s="529"/>
      <c r="AI43"/>
      <c r="AJ43"/>
    </row>
    <row r="44" spans="1:36">
      <c r="A44" s="529"/>
      <c r="B44" s="528" t="s">
        <v>97</v>
      </c>
      <c r="C44" s="242">
        <f>SUM(C39:C43)</f>
        <v>5</v>
      </c>
      <c r="D44" s="241">
        <f t="shared" si="2"/>
        <v>105</v>
      </c>
      <c r="G44" s="450"/>
      <c r="H44" s="529"/>
      <c r="AI44"/>
      <c r="AJ44"/>
    </row>
    <row r="45" spans="1:36" ht="16">
      <c r="A45" s="529"/>
      <c r="B45" s="29"/>
      <c r="C45" s="32" t="s">
        <v>457</v>
      </c>
      <c r="D45" s="243">
        <f>SUM(C39:C43)</f>
        <v>5</v>
      </c>
      <c r="G45" s="450"/>
      <c r="H45" s="529"/>
      <c r="AI45"/>
      <c r="AJ45"/>
    </row>
    <row r="46" spans="1:36">
      <c r="A46" s="529"/>
      <c r="C46" s="32" t="s">
        <v>70</v>
      </c>
      <c r="D46" s="244">
        <f>D45/C13</f>
        <v>4.5454545454545456E-2</v>
      </c>
      <c r="G46" s="450"/>
      <c r="H46" s="529"/>
      <c r="AI46"/>
      <c r="AJ46"/>
    </row>
    <row r="47" spans="1:36">
      <c r="A47" s="529"/>
      <c r="B47" s="502" t="str">
        <f>IF(RatioOpt="Licensing/Star 2","Note: Programs must be rated Star 2 to receive child care subsidy revenue", " ")</f>
        <v>Note: Programs must be rated Star 2 to receive child care subsidy revenue</v>
      </c>
      <c r="C47" s="29"/>
      <c r="D47" s="11"/>
      <c r="E47" s="5"/>
      <c r="G47" s="500"/>
      <c r="H47" s="423"/>
    </row>
    <row r="48" spans="1:36">
      <c r="A48" s="529"/>
      <c r="B48" s="29"/>
      <c r="C48" s="29"/>
      <c r="E48" s="5"/>
      <c r="G48" s="500"/>
      <c r="H48" s="423"/>
    </row>
    <row r="49" spans="1:12" ht="15" customHeight="1" thickBot="1">
      <c r="A49" s="529"/>
      <c r="B49" s="29"/>
      <c r="C49" s="29"/>
      <c r="E49" s="5"/>
      <c r="G49" s="500"/>
      <c r="H49" s="423"/>
      <c r="I49" s="464"/>
    </row>
    <row r="50" spans="1:12" ht="15" customHeight="1" thickBot="1">
      <c r="A50" s="529"/>
      <c r="B50" s="536" t="s">
        <v>430</v>
      </c>
      <c r="C50" s="531"/>
      <c r="E50" s="555" t="s">
        <v>450</v>
      </c>
      <c r="F50" s="553" t="s">
        <v>71</v>
      </c>
      <c r="G50" s="553" t="s">
        <v>428</v>
      </c>
      <c r="H50" s="554" t="s">
        <v>429</v>
      </c>
      <c r="I50" s="465"/>
      <c r="J50" s="466"/>
      <c r="K50" s="467"/>
      <c r="L50" s="468"/>
    </row>
    <row r="51" spans="1:12" ht="15" customHeight="1">
      <c r="A51" s="529"/>
      <c r="B51" s="532"/>
      <c r="C51" s="533"/>
      <c r="E51" s="545" t="str">
        <f>D8</f>
        <v>Infants</v>
      </c>
      <c r="F51" s="543">
        <f>'Quality Center Profile'!H7</f>
        <v>14895.461095499499</v>
      </c>
      <c r="G51" s="543">
        <f>F51/12</f>
        <v>1241.2884246249582</v>
      </c>
      <c r="H51" s="351">
        <f>F51/52</f>
        <v>286.45117491345189</v>
      </c>
      <c r="I51" s="465"/>
      <c r="J51" s="469"/>
      <c r="K51" s="467"/>
    </row>
    <row r="52" spans="1:12" ht="15" customHeight="1">
      <c r="A52" s="529"/>
      <c r="B52" s="534" t="s">
        <v>433</v>
      </c>
      <c r="C52" s="593">
        <f>'Quality Center Profile'!A17</f>
        <v>14.6</v>
      </c>
      <c r="E52" s="545" t="str">
        <f>D9</f>
        <v>Two-year-olds</v>
      </c>
      <c r="F52" s="543">
        <f>'Quality Center Profile'!H8</f>
        <v>11098.885873277275</v>
      </c>
      <c r="G52" s="543">
        <f>F52/12</f>
        <v>924.90715610643963</v>
      </c>
      <c r="H52" s="351">
        <f>F52/52</f>
        <v>213.4401129476399</v>
      </c>
      <c r="I52" s="465"/>
      <c r="J52" s="469"/>
      <c r="K52" s="467"/>
    </row>
    <row r="53" spans="1:12" ht="15" customHeight="1">
      <c r="A53" s="529"/>
      <c r="B53" s="534" t="s">
        <v>434</v>
      </c>
      <c r="C53" s="593">
        <f>_NumberTeachingStaff</f>
        <v>11.6</v>
      </c>
      <c r="E53" s="545" t="str">
        <f>D10</f>
        <v>Three-year-olds</v>
      </c>
      <c r="F53" s="543">
        <f>'Quality Center Profile'!H9</f>
        <v>10149.742067721718</v>
      </c>
      <c r="G53" s="543">
        <f>F53/12</f>
        <v>845.81183897680978</v>
      </c>
      <c r="H53" s="351">
        <f>F53/52</f>
        <v>195.18734745618687</v>
      </c>
      <c r="I53" s="465"/>
      <c r="J53" s="460"/>
      <c r="K53" s="467"/>
    </row>
    <row r="54" spans="1:12" ht="15" customHeight="1">
      <c r="A54" s="529"/>
      <c r="B54" s="532"/>
      <c r="C54" s="533"/>
      <c r="E54" s="545" t="str">
        <f>D11</f>
        <v>Four-year-olds</v>
      </c>
      <c r="F54" s="543">
        <f>'Quality Center Profile'!H10</f>
        <v>10149.742067721718</v>
      </c>
      <c r="G54" s="543">
        <f>F54/12</f>
        <v>845.81183897680978</v>
      </c>
      <c r="H54" s="351">
        <f>F54/52</f>
        <v>195.18734745618687</v>
      </c>
      <c r="I54" s="465"/>
      <c r="J54" s="469"/>
      <c r="K54" s="467"/>
    </row>
    <row r="55" spans="1:12" ht="15" customHeight="1" thickBot="1">
      <c r="A55" s="529"/>
      <c r="B55" s="538" t="s">
        <v>192</v>
      </c>
      <c r="C55" s="539"/>
      <c r="E55" s="546" t="str">
        <f>D12</f>
        <v>School age</v>
      </c>
      <c r="F55" s="352">
        <f>'Quality Center Profile'!H11</f>
        <v>6407.244088575043</v>
      </c>
      <c r="G55" s="352">
        <f>F55/12</f>
        <v>533.93700738125358</v>
      </c>
      <c r="H55" s="353">
        <f>F55/52</f>
        <v>123.21623247259699</v>
      </c>
      <c r="I55" s="470"/>
      <c r="J55" s="469"/>
      <c r="K55" s="471"/>
    </row>
    <row r="56" spans="1:12" ht="15" customHeight="1">
      <c r="A56" s="529"/>
      <c r="B56" s="545" t="s">
        <v>431</v>
      </c>
      <c r="C56" s="569">
        <f>'Quality Center Profile'!D37</f>
        <v>567832.73396159988</v>
      </c>
      <c r="H56" s="421"/>
    </row>
    <row r="57" spans="1:12" ht="15" customHeight="1" thickBot="1">
      <c r="A57" s="529"/>
      <c r="B57" s="545" t="s">
        <v>89</v>
      </c>
      <c r="C57" s="569">
        <f>SUM('Quality Center Profile'!D43:D45)</f>
        <v>143249.42249710238</v>
      </c>
      <c r="H57" s="423"/>
      <c r="I57" s="468"/>
      <c r="J57" s="468"/>
      <c r="K57" s="468"/>
    </row>
    <row r="58" spans="1:12" ht="15" customHeight="1" thickBot="1">
      <c r="A58" s="529"/>
      <c r="B58" s="544" t="s">
        <v>432</v>
      </c>
      <c r="C58" s="568">
        <f>Personnel</f>
        <v>711082.15645870229</v>
      </c>
      <c r="E58" s="556" t="s">
        <v>456</v>
      </c>
      <c r="F58" s="551" t="s">
        <v>447</v>
      </c>
      <c r="G58" s="551" t="s">
        <v>448</v>
      </c>
      <c r="H58" s="552" t="s">
        <v>449</v>
      </c>
      <c r="I58" s="468"/>
      <c r="J58" s="468"/>
      <c r="K58" s="468"/>
    </row>
    <row r="59" spans="1:12" ht="15" customHeight="1">
      <c r="A59" s="529"/>
      <c r="B59" s="545" t="s">
        <v>435</v>
      </c>
      <c r="C59" s="569">
        <f>NP_EdProgram</f>
        <v>161729.8382</v>
      </c>
      <c r="E59" s="547" t="str">
        <f>D8</f>
        <v>Infants</v>
      </c>
      <c r="F59" s="542">
        <f>G59*12</f>
        <v>10560</v>
      </c>
      <c r="G59" s="542">
        <f>IF(RatioOpt=I$2,'Subsidy rates'!B3,IF(RatioOpt='VariablesINPUT-CTR'!J$2,'Subsidy rates'!C3,IF(RatioOpt='VariablesINPUT-CTR'!K$2,'Subsidy rates'!D3,IF(RatioOpt='VariablesINPUT-CTR'!L$2,'Subsidy rates'!E3,"error"))))</f>
        <v>880</v>
      </c>
      <c r="H59" s="596">
        <f>F59/52</f>
        <v>203.07692307692307</v>
      </c>
      <c r="I59" s="468"/>
      <c r="J59" s="468"/>
      <c r="K59" s="468"/>
    </row>
    <row r="60" spans="1:12" ht="15" customHeight="1">
      <c r="A60" s="529"/>
      <c r="B60" s="545" t="s">
        <v>141</v>
      </c>
      <c r="C60" s="569">
        <f>NP_Occupancy</f>
        <v>116785.08333333331</v>
      </c>
      <c r="E60" s="547" t="str">
        <f>D9</f>
        <v>Two-year-olds</v>
      </c>
      <c r="F60" s="542">
        <f t="shared" ref="F60:F61" si="3">G60*12</f>
        <v>7620</v>
      </c>
      <c r="G60" s="542">
        <f>IF(RatioOpt=I$2,'Subsidy rates'!B4,IF(RatioOpt='VariablesINPUT-CTR'!J$2,'Subsidy rates'!C4,IF(RatioOpt='VariablesINPUT-CTR'!K$2,'Subsidy rates'!D4,IF(RatioOpt='VariablesINPUT-CTR'!L$2,'Subsidy rates'!E4,"error"))))</f>
        <v>635</v>
      </c>
      <c r="H60" s="596">
        <f t="shared" ref="H60:H61" si="4">F60/52</f>
        <v>146.53846153846155</v>
      </c>
      <c r="I60" s="468"/>
      <c r="J60" s="468"/>
      <c r="K60" s="468"/>
    </row>
    <row r="61" spans="1:12" ht="15" customHeight="1">
      <c r="A61" s="529"/>
      <c r="B61" s="545" t="s">
        <v>436</v>
      </c>
      <c r="C61" s="569">
        <f>NP_MgtAdmin</f>
        <v>13292.291083076923</v>
      </c>
      <c r="E61" s="547" t="str">
        <f>D10</f>
        <v>Three-year-olds</v>
      </c>
      <c r="F61" s="542">
        <f t="shared" si="3"/>
        <v>6900</v>
      </c>
      <c r="G61" s="542">
        <f>IF(RatioOpt=I$2,'Subsidy rates'!B5,IF(RatioOpt='VariablesINPUT-CTR'!J$2,'Subsidy rates'!C5,IF(RatioOpt='VariablesINPUT-CTR'!K$2,'Subsidy rates'!D5,IF(RatioOpt='VariablesINPUT-CTR'!L$2,'Subsidy rates'!E5,"error"))))</f>
        <v>575</v>
      </c>
      <c r="H61" s="596">
        <f t="shared" si="4"/>
        <v>132.69230769230768</v>
      </c>
      <c r="I61" s="468"/>
      <c r="J61" s="468"/>
      <c r="K61" s="468"/>
    </row>
    <row r="62" spans="1:12" ht="15" customHeight="1">
      <c r="A62" s="529"/>
      <c r="B62" s="545" t="s">
        <v>144</v>
      </c>
      <c r="C62" s="569">
        <f>'Quality Center Profile'!D52</f>
        <v>14362.965804347827</v>
      </c>
      <c r="E62" s="547" t="str">
        <f>D11</f>
        <v>Four-year-olds</v>
      </c>
      <c r="F62" s="542">
        <f>G62*12</f>
        <v>6900</v>
      </c>
      <c r="G62" s="542">
        <f>IF(RatioOpt=I$2,'Subsidy rates'!B6,IF(RatioOpt='VariablesINPUT-CTR'!J$2,'Subsidy rates'!C6,IF(RatioOpt='VariablesINPUT-CTR'!K$2,'Subsidy rates'!D6,IF(RatioOpt='VariablesINPUT-CTR'!L$2,'Subsidy rates'!E6,"error"))))</f>
        <v>575</v>
      </c>
      <c r="H62" s="596">
        <f t="shared" ref="H62" si="5">F62/52</f>
        <v>132.69230769230768</v>
      </c>
      <c r="I62" s="468"/>
      <c r="J62" s="468"/>
      <c r="K62" s="468"/>
    </row>
    <row r="63" spans="1:12" ht="15" customHeight="1" thickBot="1">
      <c r="A63" s="529"/>
      <c r="B63" s="545" t="s">
        <v>437</v>
      </c>
      <c r="C63" s="569">
        <f>Reserve_Fund</f>
        <v>50862.61674397302</v>
      </c>
      <c r="E63" s="548" t="str">
        <f>D12</f>
        <v>School age</v>
      </c>
      <c r="F63" s="92">
        <f>G63*12</f>
        <v>5292</v>
      </c>
      <c r="G63" s="92">
        <f>IF(RatioOpt=I$2,'Subsidy rates'!B7,IF(RatioOpt='VariablesINPUT-CTR'!J$2,'Subsidy rates'!C7,IF(RatioOpt='VariablesINPUT-CTR'!K$2,'Subsidy rates'!D7,IF(RatioOpt='VariablesINPUT-CTR'!L$2,'Subsidy rates'!E7,"error"))))</f>
        <v>441</v>
      </c>
      <c r="H63" s="597">
        <f>F63/52</f>
        <v>101.76923076923077</v>
      </c>
      <c r="I63" s="468"/>
      <c r="J63" s="468"/>
      <c r="K63" s="468"/>
    </row>
    <row r="64" spans="1:12" ht="15" customHeight="1" thickBot="1">
      <c r="A64" s="529"/>
      <c r="B64" s="545" t="s">
        <v>21</v>
      </c>
      <c r="C64" s="569">
        <f>GRT</f>
        <v>12013.240895999996</v>
      </c>
      <c r="E64" s="503"/>
      <c r="F64" s="503"/>
      <c r="G64" s="209"/>
      <c r="H64" s="423"/>
    </row>
    <row r="65" spans="1:8" ht="15" customHeight="1" thickBot="1">
      <c r="A65" s="529"/>
      <c r="B65" s="544" t="s">
        <v>318</v>
      </c>
      <c r="C65" s="568">
        <f>SUM('Quality Center Profile'!D54:D57)</f>
        <v>369046.0360607311</v>
      </c>
      <c r="E65" s="559" t="s">
        <v>451</v>
      </c>
      <c r="F65" s="557" t="s">
        <v>447</v>
      </c>
      <c r="G65" s="557" t="s">
        <v>448</v>
      </c>
      <c r="H65" s="558" t="s">
        <v>449</v>
      </c>
    </row>
    <row r="66" spans="1:8" ht="15" customHeight="1">
      <c r="A66" s="529"/>
      <c r="B66" s="538" t="s">
        <v>438</v>
      </c>
      <c r="C66" s="570">
        <f>SUM(C58,C65)</f>
        <v>1080128.1925194333</v>
      </c>
      <c r="E66" s="549" t="str">
        <f>D8</f>
        <v>Infants</v>
      </c>
      <c r="F66" s="530">
        <f t="shared" ref="F66:H70" si="6">F59-F51</f>
        <v>-4335.4610954994987</v>
      </c>
      <c r="G66" s="530">
        <f>G59-G51</f>
        <v>-361.28842462495822</v>
      </c>
      <c r="H66" s="213">
        <f t="shared" si="6"/>
        <v>-83.374251836528828</v>
      </c>
    </row>
    <row r="67" spans="1:8" ht="15" customHeight="1">
      <c r="A67" s="529"/>
      <c r="B67" s="532"/>
      <c r="C67" s="560"/>
      <c r="E67" s="549" t="str">
        <f>D9</f>
        <v>Two-year-olds</v>
      </c>
      <c r="F67" s="530">
        <f t="shared" si="6"/>
        <v>-3478.8858732772751</v>
      </c>
      <c r="G67" s="530">
        <f>G60-G52</f>
        <v>-289.90715610643963</v>
      </c>
      <c r="H67" s="213">
        <f t="shared" si="6"/>
        <v>-66.901651409178356</v>
      </c>
    </row>
    <row r="68" spans="1:8" ht="15" customHeight="1">
      <c r="A68" s="529"/>
      <c r="B68" s="538" t="s">
        <v>439</v>
      </c>
      <c r="C68" s="561"/>
      <c r="E68" s="549" t="str">
        <f>D10</f>
        <v>Three-year-olds</v>
      </c>
      <c r="F68" s="530">
        <f t="shared" si="6"/>
        <v>-3249.7420677217178</v>
      </c>
      <c r="G68" s="530">
        <f>G61-G53</f>
        <v>-270.81183897680978</v>
      </c>
      <c r="H68" s="213">
        <f t="shared" si="6"/>
        <v>-62.495039763879191</v>
      </c>
    </row>
    <row r="69" spans="1:8" ht="15" customHeight="1">
      <c r="A69" s="529"/>
      <c r="B69" s="532" t="s">
        <v>440</v>
      </c>
      <c r="C69" s="594">
        <f>'Quality Center Profile'!D63</f>
        <v>32291.999999999993</v>
      </c>
      <c r="E69" s="549" t="str">
        <f>D11</f>
        <v>Four-year-olds</v>
      </c>
      <c r="F69" s="530">
        <f t="shared" si="6"/>
        <v>-3249.7420677217178</v>
      </c>
      <c r="G69" s="530">
        <f>G62-G54</f>
        <v>-270.81183897680978</v>
      </c>
      <c r="H69" s="213">
        <f t="shared" si="6"/>
        <v>-62.495039763879191</v>
      </c>
    </row>
    <row r="70" spans="1:8" ht="15" customHeight="1" thickBot="1">
      <c r="A70" s="529"/>
      <c r="B70" s="532" t="s">
        <v>334</v>
      </c>
      <c r="C70" s="594">
        <f>SUM('Quality Center Profile'!D65)</f>
        <v>37272</v>
      </c>
      <c r="E70" s="550" t="str">
        <f>D12</f>
        <v>School age</v>
      </c>
      <c r="F70" s="201">
        <f t="shared" si="6"/>
        <v>-1115.244088575043</v>
      </c>
      <c r="G70" s="201">
        <f>G63-G55</f>
        <v>-92.937007381253579</v>
      </c>
      <c r="H70" s="214">
        <f t="shared" si="6"/>
        <v>-21.447001703366212</v>
      </c>
    </row>
    <row r="71" spans="1:8">
      <c r="A71" s="529"/>
      <c r="B71" s="534" t="s">
        <v>441</v>
      </c>
      <c r="C71" s="594">
        <f>'Quality Center Profile'!D64</f>
        <v>1181815.26</v>
      </c>
      <c r="H71" s="423"/>
    </row>
    <row r="72" spans="1:8" ht="18" customHeight="1">
      <c r="A72" s="529"/>
      <c r="B72" s="534" t="s">
        <v>442</v>
      </c>
      <c r="C72" s="594">
        <f>'Quality Center Profile'!D66</f>
        <v>0</v>
      </c>
      <c r="H72" s="423"/>
    </row>
    <row r="73" spans="1:8" ht="29" customHeight="1">
      <c r="A73" s="529"/>
      <c r="B73" s="541" t="s">
        <v>443</v>
      </c>
      <c r="C73" s="595">
        <f>'Quality Center Profile'!E72</f>
        <v>-150165.51119999995</v>
      </c>
      <c r="D73" s="25"/>
      <c r="H73" s="423"/>
    </row>
    <row r="74" spans="1:8">
      <c r="A74" s="529"/>
      <c r="B74" s="538" t="s">
        <v>446</v>
      </c>
      <c r="C74" s="570">
        <f>SUM(C69:C73)</f>
        <v>1101213.7488000002</v>
      </c>
      <c r="H74" s="423"/>
    </row>
    <row r="75" spans="1:8" ht="23" customHeight="1">
      <c r="A75" s="529"/>
      <c r="B75" s="537"/>
      <c r="C75" s="562"/>
      <c r="H75" s="423"/>
    </row>
    <row r="76" spans="1:8" ht="28">
      <c r="A76" s="529"/>
      <c r="B76" s="541" t="s">
        <v>444</v>
      </c>
      <c r="C76" s="564">
        <f>'Quality Center Profile'!D75</f>
        <v>21085.556280566845</v>
      </c>
      <c r="H76" s="423"/>
    </row>
    <row r="77" spans="1:8" ht="15" thickBot="1">
      <c r="A77" s="529"/>
      <c r="B77" s="535" t="s">
        <v>445</v>
      </c>
      <c r="C77" s="563">
        <f>'Quality Center Profile'!E75</f>
        <v>1.9740905460146216E-2</v>
      </c>
      <c r="D77" s="425"/>
      <c r="H77" s="423"/>
    </row>
    <row r="78" spans="1:8">
      <c r="A78" s="529"/>
      <c r="B78" s="29"/>
      <c r="D78" s="450"/>
      <c r="H78" s="423"/>
    </row>
    <row r="79" spans="1:8" s="450" customFormat="1" ht="14" thickBot="1">
      <c r="A79" s="529"/>
      <c r="B79" s="504" t="s">
        <v>427</v>
      </c>
      <c r="C79" s="428"/>
      <c r="D79" s="601"/>
      <c r="E79" s="428"/>
      <c r="F79" s="428"/>
      <c r="G79" s="428"/>
      <c r="H79" s="228"/>
    </row>
    <row r="80" spans="1:8" s="450" customFormat="1"/>
    <row r="81" s="450" customFormat="1"/>
    <row r="82" s="450" customFormat="1"/>
    <row r="83" s="450" customFormat="1"/>
    <row r="84" s="450" customFormat="1"/>
    <row r="85" s="450" customFormat="1"/>
    <row r="86" s="450" customFormat="1"/>
    <row r="87" s="450" customFormat="1"/>
    <row r="88" s="450" customFormat="1"/>
    <row r="89" s="450" customFormat="1"/>
    <row r="90" s="450" customFormat="1"/>
    <row r="91" s="450" customFormat="1"/>
    <row r="92" s="450" customFormat="1"/>
    <row r="93" s="450" customFormat="1"/>
    <row r="94" s="450" customFormat="1"/>
    <row r="95" s="450" customFormat="1"/>
    <row r="96" s="450" customFormat="1"/>
    <row r="97" s="450" customFormat="1"/>
    <row r="98" s="450" customFormat="1"/>
    <row r="99" s="450" customFormat="1"/>
    <row r="100" s="450" customFormat="1"/>
    <row r="101" s="450" customFormat="1"/>
    <row r="102" s="450" customFormat="1"/>
    <row r="103" s="450" customFormat="1"/>
    <row r="104" s="450" customFormat="1"/>
    <row r="105" s="450" customFormat="1"/>
    <row r="106" s="450" customFormat="1"/>
    <row r="107" s="450" customFormat="1"/>
    <row r="108" s="450" customFormat="1"/>
    <row r="109" s="450" customFormat="1"/>
    <row r="110" s="450" customFormat="1"/>
    <row r="111" s="450" customFormat="1"/>
    <row r="112" s="450" customFormat="1"/>
    <row r="113" s="450" customFormat="1"/>
    <row r="114" s="450" customFormat="1"/>
    <row r="115" s="450" customFormat="1"/>
    <row r="116" s="450" customFormat="1"/>
    <row r="117" s="450" customFormat="1"/>
    <row r="118" s="450" customFormat="1"/>
    <row r="119" s="450" customFormat="1"/>
    <row r="120" s="450" customFormat="1"/>
    <row r="121" s="450" customFormat="1"/>
    <row r="122" s="450" customFormat="1"/>
    <row r="123" s="450" customFormat="1"/>
    <row r="124" s="450" customFormat="1"/>
    <row r="125" s="450" customFormat="1"/>
    <row r="126" s="450" customFormat="1"/>
    <row r="127" s="450" customFormat="1"/>
    <row r="128" s="450" customFormat="1"/>
    <row r="129" s="450" customFormat="1"/>
    <row r="130" s="450" customFormat="1"/>
    <row r="131" s="450" customFormat="1"/>
    <row r="132" s="450" customFormat="1"/>
    <row r="133" s="450" customFormat="1"/>
    <row r="134" s="450" customFormat="1"/>
    <row r="135" s="450" customFormat="1"/>
    <row r="136" s="450" customFormat="1"/>
    <row r="137" s="450" customFormat="1"/>
    <row r="138" s="450" customFormat="1"/>
    <row r="139" s="450" customFormat="1"/>
    <row r="140" s="450" customFormat="1"/>
    <row r="141" s="450" customFormat="1"/>
    <row r="142" s="450" customFormat="1"/>
    <row r="143" s="450" customFormat="1"/>
    <row r="144" s="450" customFormat="1"/>
    <row r="145" s="450" customFormat="1"/>
    <row r="146" s="450" customFormat="1"/>
    <row r="147" s="450" customFormat="1"/>
    <row r="148" s="450" customFormat="1"/>
    <row r="149" s="450" customFormat="1"/>
    <row r="150" s="450" customFormat="1"/>
    <row r="151" s="450" customFormat="1"/>
    <row r="152" s="450" customFormat="1"/>
    <row r="153" s="450" customFormat="1"/>
    <row r="154" s="450" customFormat="1"/>
    <row r="155" s="450" customFormat="1"/>
    <row r="156" s="450" customFormat="1"/>
    <row r="157" s="450" customFormat="1"/>
    <row r="158" s="450" customFormat="1"/>
    <row r="159" s="450" customFormat="1"/>
    <row r="160" s="450" customFormat="1"/>
    <row r="161" s="450" customFormat="1"/>
    <row r="162" s="450" customFormat="1"/>
    <row r="163" s="450" customFormat="1"/>
    <row r="164" s="450" customFormat="1"/>
    <row r="165" s="450" customFormat="1"/>
    <row r="166" s="450" customFormat="1"/>
    <row r="167" s="450" customFormat="1"/>
    <row r="168" s="450" customFormat="1"/>
    <row r="169" s="450" customFormat="1"/>
    <row r="170" s="450" customFormat="1"/>
    <row r="171" s="450" customFormat="1"/>
    <row r="172" s="450" customFormat="1"/>
    <row r="173" s="450" customFormat="1"/>
    <row r="174" s="450" customFormat="1"/>
    <row r="175" s="450" customFormat="1"/>
    <row r="176" s="450" customFormat="1"/>
    <row r="177" s="450" customFormat="1"/>
    <row r="178" s="450" customFormat="1"/>
    <row r="179" s="450" customFormat="1"/>
    <row r="180" s="450" customFormat="1"/>
    <row r="181" s="450" customFormat="1"/>
    <row r="182" s="450" customFormat="1"/>
    <row r="183" s="450" customFormat="1"/>
    <row r="184" s="450" customFormat="1"/>
    <row r="185" s="450" customFormat="1"/>
    <row r="186" s="450" customFormat="1"/>
    <row r="187" s="450" customFormat="1"/>
    <row r="188" s="450" customFormat="1"/>
    <row r="189" s="450" customFormat="1"/>
    <row r="190" s="450" customFormat="1"/>
    <row r="191" s="450" customFormat="1"/>
    <row r="192" s="450" customFormat="1"/>
    <row r="193" s="450" customFormat="1"/>
    <row r="194" s="450" customFormat="1"/>
    <row r="195" s="450" customFormat="1"/>
    <row r="196" s="450" customFormat="1"/>
    <row r="197" s="450" customFormat="1"/>
    <row r="198" s="450" customFormat="1"/>
    <row r="199" s="450" customFormat="1"/>
    <row r="200" s="450" customFormat="1"/>
    <row r="201" s="450" customFormat="1"/>
    <row r="202" s="450" customFormat="1"/>
    <row r="203" s="450" customFormat="1"/>
    <row r="204" s="450" customFormat="1"/>
    <row r="205" s="450" customFormat="1"/>
    <row r="206" s="450" customFormat="1"/>
    <row r="207" s="450" customFormat="1"/>
    <row r="208" s="450" customFormat="1"/>
    <row r="209" s="450" customFormat="1"/>
    <row r="210" s="450" customFormat="1"/>
    <row r="211" s="450" customFormat="1"/>
    <row r="212" s="450" customFormat="1"/>
    <row r="213" s="450" customFormat="1"/>
    <row r="214" s="450" customFormat="1"/>
    <row r="215" s="450" customFormat="1"/>
    <row r="216" s="450" customFormat="1"/>
    <row r="217" s="450" customFormat="1"/>
    <row r="218" s="450" customFormat="1"/>
    <row r="219" s="450" customFormat="1"/>
    <row r="220" s="450" customFormat="1"/>
    <row r="221" s="450" customFormat="1"/>
    <row r="222" s="450" customFormat="1"/>
    <row r="223" s="450" customFormat="1"/>
    <row r="224" s="450" customFormat="1"/>
    <row r="225" s="450" customFormat="1"/>
    <row r="226" s="450" customFormat="1"/>
    <row r="227" s="450" customFormat="1"/>
    <row r="228" s="450" customFormat="1"/>
    <row r="229" s="450" customFormat="1"/>
    <row r="230" s="450" customFormat="1"/>
    <row r="231" s="450" customFormat="1"/>
    <row r="232" s="450" customFormat="1"/>
    <row r="233" s="450" customFormat="1"/>
    <row r="234" s="450" customFormat="1"/>
    <row r="235" s="450" customFormat="1"/>
    <row r="236" s="450" customFormat="1"/>
    <row r="237" s="450" customFormat="1"/>
    <row r="238" s="450" customFormat="1"/>
    <row r="239" s="450" customFormat="1"/>
    <row r="240" s="450" customFormat="1"/>
    <row r="241" s="450" customFormat="1"/>
    <row r="242" s="450" customFormat="1"/>
    <row r="243" s="450" customFormat="1"/>
    <row r="244" s="450" customFormat="1"/>
    <row r="245" s="450" customFormat="1"/>
    <row r="246" s="450" customFormat="1"/>
    <row r="247" s="450" customFormat="1"/>
    <row r="248" s="450" customFormat="1"/>
    <row r="249" s="450" customFormat="1"/>
    <row r="250" s="450" customFormat="1"/>
    <row r="251" s="450" customFormat="1"/>
    <row r="252" s="450" customFormat="1"/>
    <row r="253" s="450" customFormat="1"/>
    <row r="254" s="450" customFormat="1"/>
    <row r="255" s="450" customFormat="1"/>
    <row r="256" s="450" customFormat="1"/>
    <row r="257" s="450" customFormat="1"/>
    <row r="258" s="450" customFormat="1"/>
    <row r="259" s="450" customFormat="1"/>
    <row r="260" s="450" customFormat="1"/>
    <row r="261" s="450" customFormat="1"/>
    <row r="262" s="450" customFormat="1"/>
    <row r="263" s="450" customFormat="1"/>
    <row r="264" s="450" customFormat="1"/>
    <row r="265" s="450" customFormat="1"/>
    <row r="266" s="450" customFormat="1"/>
    <row r="267" s="450" customFormat="1"/>
    <row r="268" s="450" customFormat="1"/>
    <row r="269" s="450" customFormat="1"/>
    <row r="270" s="450" customFormat="1"/>
    <row r="271" s="450" customFormat="1"/>
    <row r="272" s="450" customFormat="1"/>
    <row r="273" s="450" customFormat="1"/>
    <row r="274" s="450" customFormat="1"/>
    <row r="275" s="450" customFormat="1"/>
    <row r="276" s="450" customFormat="1"/>
    <row r="277" s="450" customFormat="1"/>
    <row r="278" s="450" customFormat="1"/>
    <row r="279" s="450" customFormat="1"/>
    <row r="280" s="450" customFormat="1"/>
    <row r="281" s="450" customFormat="1"/>
    <row r="282" s="450" customFormat="1"/>
    <row r="283" s="450" customFormat="1"/>
    <row r="284" s="450" customFormat="1"/>
    <row r="285" s="450" customFormat="1"/>
    <row r="286" s="450" customFormat="1"/>
    <row r="287" s="450" customFormat="1"/>
    <row r="288" s="450" customFormat="1"/>
    <row r="289" s="450" customFormat="1"/>
    <row r="290" s="450" customFormat="1"/>
    <row r="291" s="450" customFormat="1"/>
    <row r="292" s="450" customFormat="1"/>
    <row r="293" s="450" customFormat="1"/>
    <row r="294" s="450" customFormat="1"/>
    <row r="295" s="450" customFormat="1"/>
    <row r="296" s="450" customFormat="1"/>
    <row r="297" s="450" customFormat="1"/>
    <row r="298" s="450" customFormat="1"/>
    <row r="299" s="450" customFormat="1"/>
    <row r="300" s="450" customFormat="1"/>
    <row r="301" s="450" customFormat="1"/>
    <row r="302" s="450" customFormat="1"/>
    <row r="303" s="450" customFormat="1"/>
    <row r="304" s="450" customFormat="1"/>
    <row r="305" s="450" customFormat="1"/>
    <row r="306" s="450" customFormat="1"/>
    <row r="307" s="450" customFormat="1"/>
    <row r="308" s="450" customFormat="1"/>
    <row r="309" s="450" customFormat="1"/>
    <row r="310" s="450" customFormat="1"/>
    <row r="311" s="450" customFormat="1"/>
    <row r="312" s="450" customFormat="1"/>
    <row r="313" s="450" customFormat="1"/>
    <row r="314" s="450" customFormat="1"/>
    <row r="315" s="450" customFormat="1"/>
    <row r="316" s="450" customFormat="1"/>
    <row r="317" s="450" customFormat="1"/>
    <row r="318" s="450" customFormat="1"/>
    <row r="319" s="450" customFormat="1"/>
    <row r="320" s="450" customFormat="1"/>
    <row r="321" s="450" customFormat="1"/>
    <row r="322" s="450" customFormat="1"/>
    <row r="323" s="450" customFormat="1"/>
    <row r="324" s="450" customFormat="1"/>
    <row r="325" s="450" customFormat="1"/>
    <row r="326" s="450" customFormat="1"/>
    <row r="327" s="450" customFormat="1"/>
    <row r="328" s="450" customFormat="1"/>
    <row r="329" s="450" customFormat="1"/>
    <row r="330" s="450" customFormat="1"/>
    <row r="331" s="450" customFormat="1"/>
    <row r="332" s="450" customFormat="1"/>
    <row r="333" s="450" customFormat="1"/>
    <row r="334" s="450" customFormat="1"/>
    <row r="335" s="450" customFormat="1"/>
    <row r="336" s="450" customFormat="1"/>
    <row r="337" s="450" customFormat="1"/>
    <row r="338" s="450" customFormat="1"/>
    <row r="339" s="450" customFormat="1"/>
    <row r="340" s="450" customFormat="1"/>
    <row r="341" s="450" customFormat="1"/>
    <row r="342" s="450" customFormat="1"/>
    <row r="343" s="450" customFormat="1"/>
    <row r="344" s="450" customFormat="1"/>
    <row r="345" s="450" customFormat="1"/>
    <row r="346" s="450" customFormat="1"/>
    <row r="347" s="450" customFormat="1"/>
    <row r="348" s="450" customFormat="1"/>
    <row r="349" s="450" customFormat="1"/>
    <row r="350" s="450" customFormat="1"/>
    <row r="351" s="450" customFormat="1"/>
    <row r="352" s="450" customFormat="1"/>
    <row r="353" spans="2:8" s="450" customFormat="1"/>
    <row r="354" spans="2:8" s="450" customFormat="1"/>
    <row r="355" spans="2:8" s="450" customFormat="1"/>
    <row r="356" spans="2:8" s="450" customFormat="1"/>
    <row r="357" spans="2:8" s="450" customFormat="1"/>
    <row r="358" spans="2:8" s="450" customFormat="1"/>
    <row r="359" spans="2:8" s="450" customFormat="1">
      <c r="D359"/>
    </row>
    <row r="360" spans="2:8">
      <c r="B360" s="450"/>
      <c r="C360" s="450"/>
      <c r="E360" s="450"/>
      <c r="F360" s="450"/>
      <c r="G360" s="450"/>
      <c r="H360" s="450"/>
    </row>
  </sheetData>
  <phoneticPr fontId="8" type="noConversion"/>
  <conditionalFormatting sqref="C76:C77">
    <cfRule type="cellIs" dxfId="5" priority="1" operator="lessThan">
      <formula>0</formula>
    </cfRule>
  </conditionalFormatting>
  <dataValidations count="9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D23" xr:uid="{2C2C1AE1-8333-5F4B-93CF-155C11B4DA26}">
      <formula1>$I$23:$O$23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13" zoomScale="140" zoomScaleNormal="140" workbookViewId="0">
      <selection activeCell="D63" sqref="D63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74</v>
      </c>
      <c r="B1" s="37"/>
      <c r="C1" s="2"/>
      <c r="D1" s="2"/>
      <c r="E1" s="2" t="str">
        <f>RatioOpt</f>
        <v>Licensing/Star 2</v>
      </c>
      <c r="F1" s="2"/>
      <c r="G1" s="2"/>
    </row>
    <row r="2" spans="1:28">
      <c r="A2" s="5"/>
      <c r="B2" s="5" t="s">
        <v>75</v>
      </c>
      <c r="E2" s="3"/>
      <c r="F2" t="s">
        <v>76</v>
      </c>
    </row>
    <row r="3" spans="1:28">
      <c r="A3" s="5"/>
      <c r="B3" s="5" t="s">
        <v>77</v>
      </c>
      <c r="E3" s="27"/>
      <c r="F3" t="s">
        <v>78</v>
      </c>
    </row>
    <row r="4" spans="1:28">
      <c r="A4" s="23" t="s">
        <v>79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2" t="s">
        <v>80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81</v>
      </c>
      <c r="D6" s="9" t="s">
        <v>0</v>
      </c>
      <c r="E6" s="29" t="s">
        <v>82</v>
      </c>
      <c r="F6" t="s">
        <v>83</v>
      </c>
      <c r="H6" s="86" t="s">
        <v>84</v>
      </c>
      <c r="I6" s="2" t="s">
        <v>85</v>
      </c>
      <c r="J6" s="20"/>
      <c r="K6" s="193" t="s">
        <v>86</v>
      </c>
      <c r="L6" s="193" t="s">
        <v>87</v>
      </c>
      <c r="M6" s="193" t="s">
        <v>88</v>
      </c>
      <c r="N6" s="193" t="s">
        <v>89</v>
      </c>
      <c r="O6" s="193" t="s">
        <v>90</v>
      </c>
      <c r="P6" s="430" t="s">
        <v>91</v>
      </c>
      <c r="Q6" s="430" t="s">
        <v>92</v>
      </c>
      <c r="R6" s="430" t="s">
        <v>93</v>
      </c>
      <c r="S6" s="193" t="s">
        <v>94</v>
      </c>
      <c r="T6" s="193" t="s">
        <v>95</v>
      </c>
      <c r="U6" s="193" t="s">
        <v>96</v>
      </c>
      <c r="V6" s="193" t="s">
        <v>21</v>
      </c>
      <c r="W6" s="193" t="s">
        <v>97</v>
      </c>
      <c r="X6" s="223" t="s">
        <v>98</v>
      </c>
      <c r="Y6" s="226" t="s">
        <v>99</v>
      </c>
      <c r="Z6" s="330"/>
      <c r="AA6" s="229" t="s">
        <v>100</v>
      </c>
    </row>
    <row r="7" spans="1:28" ht="17" customHeight="1">
      <c r="A7">
        <f>C7*F7</f>
        <v>12</v>
      </c>
      <c r="B7" s="29" t="str">
        <f>'VariablesINPUT-CTR'!D8</f>
        <v>Infants</v>
      </c>
      <c r="C7" s="210">
        <f>'VariablesINPUT-CTR'!F8</f>
        <v>12</v>
      </c>
      <c r="D7" s="211">
        <f>'VariablesINPUT-CTR'!E8</f>
        <v>6</v>
      </c>
      <c r="E7" s="17">
        <f>IF(Infants&gt;0,(ROUND(SUM(Infants/D7),1)),"0")</f>
        <v>2</v>
      </c>
      <c r="F7" s="327">
        <f>'VariablesINPUT-CTR'!G8</f>
        <v>1</v>
      </c>
      <c r="G7" s="29" t="str">
        <f>B7</f>
        <v>Infants</v>
      </c>
      <c r="H7" s="36">
        <f>AA7</f>
        <v>14895.461095499499</v>
      </c>
      <c r="I7" s="439">
        <f>H7/12</f>
        <v>1241.2884246249582</v>
      </c>
      <c r="J7" s="33"/>
      <c r="K7" s="212">
        <f>Admin_Staff/TotalChildren</f>
        <v>1316.9784541963636</v>
      </c>
      <c r="L7" s="212">
        <f>IF(Infants&gt;0,(SUM((D23/A23)*F7,((E7-F7)*(D24/A24)))/Infants),"0")</f>
        <v>6195.0199999999995</v>
      </c>
      <c r="M7" s="212">
        <f>IF(Infants&gt;0,(SUM(D$27:D$28))/TotalClassrooms/Infants*InfantClassrooms,"0")</f>
        <v>832</v>
      </c>
      <c r="N7" s="212">
        <f>SUM(MandatoryBenefits,AdditionalBenefits)/TotalChildren</f>
        <v>1302.2674772463852</v>
      </c>
      <c r="O7" s="212">
        <f>IF(Infants&gt;0,(Subs/TotalClassrooms/Infants*InfantClassrooms),"0")</f>
        <v>518</v>
      </c>
      <c r="P7" s="215">
        <f>NP_EdProgram/TotalChildren</f>
        <v>1470.2712563636364</v>
      </c>
      <c r="Q7" s="215">
        <f>IF(Infants&gt;0,(NP_Occupancy/TotalClassrooms/Infants*InfantClassrooms),"0")</f>
        <v>1946.4180555555552</v>
      </c>
      <c r="R7" s="215">
        <f>NP_MgtAdmin/TotalChildren</f>
        <v>120.83900984615384</v>
      </c>
      <c r="S7" s="215">
        <v>0</v>
      </c>
      <c r="T7" s="216">
        <f>IF(Infants&gt;0,(SUM(D$53/TotalClassrooms)/Infants),"0")</f>
        <v>0</v>
      </c>
      <c r="U7" s="216">
        <f>D$56/TotalChildren</f>
        <v>462.38742494520926</v>
      </c>
      <c r="V7" s="216">
        <f>SUM((GRT-D$73)/TotalChildren)</f>
        <v>109.21128087272723</v>
      </c>
      <c r="W7" s="194">
        <f>SUM(K7:V7)</f>
        <v>14273.39295902603</v>
      </c>
      <c r="X7" s="224">
        <f>W7*Infants</f>
        <v>171280.71550831237</v>
      </c>
      <c r="Y7" s="227">
        <f>A7/SUM(TotalChildren-Schoolagers)*Y11</f>
        <v>7464.8176376816145</v>
      </c>
      <c r="Z7" s="33">
        <f>SUM(X7:Y7)</f>
        <v>178745.53314599398</v>
      </c>
      <c r="AA7" s="230">
        <f>IF(Infants&gt;0,(Z7/Infants),"0")</f>
        <v>14895.461095499499</v>
      </c>
    </row>
    <row r="8" spans="1:28" ht="16" customHeight="1">
      <c r="A8">
        <f>C8*F8</f>
        <v>20</v>
      </c>
      <c r="B8" s="29" t="str">
        <f>'VariablesINPUT-CTR'!D9</f>
        <v>Two-year-olds</v>
      </c>
      <c r="C8" s="210">
        <f>'VariablesINPUT-CTR'!F9</f>
        <v>20</v>
      </c>
      <c r="D8" s="211">
        <f>'VariablesINPUT-CTR'!E9</f>
        <v>10</v>
      </c>
      <c r="E8" s="17">
        <f>IF(Toddlers&gt;0,(ROUND(SUM(Toddlers/D8),1)),"0")</f>
        <v>2</v>
      </c>
      <c r="F8" s="327">
        <f>'VariablesINPUT-CTR'!G9</f>
        <v>1</v>
      </c>
      <c r="G8" s="29" t="str">
        <f>B8</f>
        <v>Two-year-olds</v>
      </c>
      <c r="H8" s="36">
        <f t="shared" ref="H8:H11" si="0">AA8</f>
        <v>11098.885873277275</v>
      </c>
      <c r="I8" s="439">
        <f>H8/12</f>
        <v>924.90715610643963</v>
      </c>
      <c r="J8" s="72"/>
      <c r="K8" s="212">
        <f>Admin_Staff/TotalChildren</f>
        <v>1316.9784541963636</v>
      </c>
      <c r="L8" s="212">
        <f>IF(Toddlers&gt;0,(SUM((D23/A23)*F8,((E8-F8)*(D24/A24)))/Toddlers),"0")</f>
        <v>3717.0119999999997</v>
      </c>
      <c r="M8" s="212">
        <f>IF(Toddlers&gt;0,(SUM(D$27:D$28))/TotalClassrooms/Toddlers*ToddlerClassrooms,"0")</f>
        <v>499.2</v>
      </c>
      <c r="N8" s="212">
        <f>SUM(MandatoryBenefits,AdditionalBenefits)/TotalChildren</f>
        <v>1302.2674772463852</v>
      </c>
      <c r="O8" s="212">
        <f>IF(Toddlers&gt;0,(Subs/TotalClassrooms/Toddlers*ToddlerClassrooms),"0")</f>
        <v>310.8</v>
      </c>
      <c r="P8" s="215">
        <f>NP_EdProgram/TotalChildren</f>
        <v>1470.2712563636364</v>
      </c>
      <c r="Q8" s="215">
        <f>IF(Toddlers&gt;0,(NP_Occupancy/TotalClassrooms/Toddlers*ToddlerClassrooms),"0")</f>
        <v>1167.8508333333332</v>
      </c>
      <c r="R8" s="215">
        <f>NP_MgtAdmin/TotalChildren</f>
        <v>120.83900984615384</v>
      </c>
      <c r="S8" s="215">
        <v>0</v>
      </c>
      <c r="T8" s="216">
        <f>IF(Toddlers&gt;0,(SUM(D$53/TotalClassrooms)/Toddlers),"0")</f>
        <v>0</v>
      </c>
      <c r="U8" s="216">
        <f>D$56/TotalChildren</f>
        <v>462.38742494520926</v>
      </c>
      <c r="V8" s="216">
        <f>SUM((GRT-D$73)/TotalChildren)</f>
        <v>109.21128087272723</v>
      </c>
      <c r="W8" s="194">
        <f>SUM(K8:V8)</f>
        <v>10476.817736803809</v>
      </c>
      <c r="X8" s="224">
        <f>W8*Toddlers</f>
        <v>209536.35473607617</v>
      </c>
      <c r="Y8" s="227">
        <f>A8/SUM(TotalChildren-Schoolagers)*Y11</f>
        <v>12441.362729469358</v>
      </c>
      <c r="Z8" s="33">
        <f>SUM(X8:Y8)</f>
        <v>221977.71746554552</v>
      </c>
      <c r="AA8" s="230">
        <f>IF(Toddlers&gt;0,(Z8/Toddlers),"0")</f>
        <v>11098.885873277275</v>
      </c>
    </row>
    <row r="9" spans="1:28" ht="14" customHeight="1">
      <c r="A9">
        <f>C9*F9</f>
        <v>24</v>
      </c>
      <c r="B9" s="29" t="str">
        <f>'VariablesINPUT-CTR'!D10</f>
        <v>Three-year-olds</v>
      </c>
      <c r="C9" s="210">
        <f>'VariablesINPUT-CTR'!F10</f>
        <v>24</v>
      </c>
      <c r="D9" s="211">
        <f>'VariablesINPUT-CTR'!E10</f>
        <v>12</v>
      </c>
      <c r="E9" s="17">
        <f>IF(Preschoolers&gt;0,(ROUND(SUM(Preschoolers/D9),1)),"0")</f>
        <v>2</v>
      </c>
      <c r="F9" s="327">
        <f>'VariablesINPUT-CTR'!G10</f>
        <v>1</v>
      </c>
      <c r="G9" s="29" t="str">
        <f>B9</f>
        <v>Three-year-olds</v>
      </c>
      <c r="H9" s="36">
        <f t="shared" si="0"/>
        <v>10149.742067721718</v>
      </c>
      <c r="I9" s="439">
        <f>H9/12</f>
        <v>845.81183897680978</v>
      </c>
      <c r="J9" s="72"/>
      <c r="K9" s="212">
        <f>Admin_Staff/TotalChildren</f>
        <v>1316.9784541963636</v>
      </c>
      <c r="L9" s="212">
        <f>IF(Pre3Children&gt;0,(SUM((D23/A23)*F9,((E9-F9)*(D24/A24)))/Pre3Children),"0")</f>
        <v>3097.5099999999998</v>
      </c>
      <c r="M9" s="212">
        <f>IF(Pre3Children&gt;0,(SUM(D$27:D$28))/TotalClassrooms/Pre3Children*PreschoolersClassroom,"0")</f>
        <v>416</v>
      </c>
      <c r="N9" s="212">
        <f>SUM(MandatoryBenefits,AdditionalBenefits)/TotalChildren</f>
        <v>1302.2674772463852</v>
      </c>
      <c r="O9" s="212">
        <f>IF(Pre3Children&gt;0,(Subs/TotalClassrooms/Pre3Children*PreschoolersClassroom),"0")</f>
        <v>259</v>
      </c>
      <c r="P9" s="215">
        <f>NP_EdProgram/TotalChildren</f>
        <v>1470.2712563636364</v>
      </c>
      <c r="Q9" s="215">
        <f>IF(Pre3Children&gt;0,(NP_Occupancy/TotalClassrooms/Pre3Children*PreschoolersClassroom),"0")</f>
        <v>973.20902777777758</v>
      </c>
      <c r="R9" s="215">
        <f>NP_MgtAdmin/TotalChildren</f>
        <v>120.83900984615384</v>
      </c>
      <c r="S9" s="215">
        <v>0</v>
      </c>
      <c r="T9" s="216">
        <f>IF(Pre3Children&gt;0,(SUM(D$53/TotalClassrooms)/Pre3Children),"0")</f>
        <v>0</v>
      </c>
      <c r="U9" s="216">
        <f>D$56/TotalChildren</f>
        <v>462.38742494520926</v>
      </c>
      <c r="V9" s="216">
        <f>SUM((GRT-D$73)/TotalChildren)</f>
        <v>109.21128087272723</v>
      </c>
      <c r="W9" s="194">
        <f>SUM(K9:V9)</f>
        <v>9527.6739312482514</v>
      </c>
      <c r="X9" s="224">
        <f>W9*Pre3Children</f>
        <v>228664.17434995802</v>
      </c>
      <c r="Y9" s="227">
        <f>A9/SUM(TotalChildren-Schoolagers)*Y11</f>
        <v>14929.635275363229</v>
      </c>
      <c r="Z9" s="33">
        <f>SUM(X9:Y9)</f>
        <v>243593.80962532124</v>
      </c>
      <c r="AA9" s="230">
        <f>IF(Pre3Children&gt;0,(Z9/Pre3Children),"0")</f>
        <v>10149.742067721718</v>
      </c>
    </row>
    <row r="10" spans="1:28" ht="14" customHeight="1">
      <c r="A10">
        <f>C10*F10</f>
        <v>24</v>
      </c>
      <c r="B10" s="29" t="str">
        <f>'VariablesINPUT-CTR'!D11</f>
        <v>Four-year-olds</v>
      </c>
      <c r="C10" s="210">
        <f>'VariablesINPUT-CTR'!F11</f>
        <v>24</v>
      </c>
      <c r="D10" s="211">
        <f>'VariablesINPUT-CTR'!E11</f>
        <v>12</v>
      </c>
      <c r="E10" s="17">
        <f>IF(Pre4Children&gt;0,(ROUND(SUM(Pre4Children/D10),1)),"0")</f>
        <v>2</v>
      </c>
      <c r="F10" s="327">
        <f>'VariablesINPUT-CTR'!G11</f>
        <v>1</v>
      </c>
      <c r="G10" s="29" t="str">
        <f>B10</f>
        <v>Four-year-olds</v>
      </c>
      <c r="H10" s="36">
        <f t="shared" si="0"/>
        <v>10149.742067721718</v>
      </c>
      <c r="I10" s="439">
        <f>H10/12</f>
        <v>845.81183897680978</v>
      </c>
      <c r="J10" s="72"/>
      <c r="K10" s="212">
        <f>Admin_Staff/TotalChildren</f>
        <v>1316.9784541963636</v>
      </c>
      <c r="L10" s="212">
        <f>IF(Pre4Children&gt;0,(SUM((D23/A23)*F10,((E10-F10)*(D24/A24)))/Pre4Children),"0")</f>
        <v>3097.5099999999998</v>
      </c>
      <c r="M10" s="212">
        <f>IF(Pre4Children&gt;0,(SUM(D$27:D$28))/TotalClassrooms/Pre4Children*Pre4classroom,"0")</f>
        <v>416</v>
      </c>
      <c r="N10" s="212">
        <f>IF(Pre4Children&gt;0,(SUM(MandatoryBenefits,AdditionalBenefits)/TotalChildren),"0")</f>
        <v>1302.2674772463852</v>
      </c>
      <c r="O10" s="212">
        <f>IF(Pre4Children&gt;0,(Subs/TotalClassrooms/Pre4Children*Pre4classroom),"0")</f>
        <v>259</v>
      </c>
      <c r="P10" s="215">
        <f>NP_EdProgram/TotalChildren</f>
        <v>1470.2712563636364</v>
      </c>
      <c r="Q10" s="215">
        <f>IF(Pre4Children&gt;0,(NP_Occupancy/TotalClassrooms/Pre4Children*Pre4classroom),"0")</f>
        <v>973.20902777777758</v>
      </c>
      <c r="R10" s="215">
        <f>NP_MgtAdmin/TotalChildren</f>
        <v>120.83900984615384</v>
      </c>
      <c r="S10" s="215">
        <v>0</v>
      </c>
      <c r="T10" s="216">
        <f>IF(Pre4Children&gt;0,(SUM(D$53/TotalClassrooms)/Pre4Children),"0")</f>
        <v>0</v>
      </c>
      <c r="U10" s="216">
        <f>D$56/TotalChildren</f>
        <v>462.38742494520926</v>
      </c>
      <c r="V10" s="216">
        <f>SUM((GRT-D$73)/TotalChildren)</f>
        <v>109.21128087272723</v>
      </c>
      <c r="W10" s="194">
        <f>SUM(K10:V10)</f>
        <v>9527.6739312482514</v>
      </c>
      <c r="X10" s="224">
        <f>W10*Pre4Children</f>
        <v>228664.17434995802</v>
      </c>
      <c r="Y10" s="227">
        <f>A10/SUM(TotalChildren-Schoolagers)*Y11</f>
        <v>14929.635275363229</v>
      </c>
      <c r="Z10" s="33">
        <f>SUM(X10:Y10)</f>
        <v>243593.80962532124</v>
      </c>
      <c r="AA10" s="230">
        <f>IF(Pre4Children&gt;0,Z10/Pre4Children,"0")</f>
        <v>10149.742067721718</v>
      </c>
    </row>
    <row r="11" spans="1:28" ht="14" customHeight="1">
      <c r="A11">
        <f>C11*F11</f>
        <v>30</v>
      </c>
      <c r="B11" s="29" t="str">
        <f>'VariablesINPUT-CTR'!D12</f>
        <v>School age</v>
      </c>
      <c r="C11" s="210">
        <f>'VariablesINPUT-CTR'!F12</f>
        <v>30</v>
      </c>
      <c r="D11" s="211">
        <f>'VariablesINPUT-CTR'!E12</f>
        <v>15</v>
      </c>
      <c r="E11" s="17">
        <f>IF(Schoolagers&gt;0,(ROUNDUP(SUM(Schoolagers/D11),0)),"0")</f>
        <v>2</v>
      </c>
      <c r="F11" s="327">
        <f>'VariablesINPUT-CTR'!G12</f>
        <v>1</v>
      </c>
      <c r="G11" s="29" t="str">
        <f>B11</f>
        <v>School age</v>
      </c>
      <c r="H11" s="36">
        <f t="shared" si="0"/>
        <v>6407.244088575043</v>
      </c>
      <c r="I11" s="439">
        <f>H11/12</f>
        <v>533.93700738125358</v>
      </c>
      <c r="J11" s="72"/>
      <c r="K11" s="212">
        <f>(Admin_Staff/TotalChildren)</f>
        <v>1316.9784541963636</v>
      </c>
      <c r="L11" s="212">
        <f>IF(Schoolagers&gt;0,(SUM((D25/A25)*F11,((E11-F11)*(D26/A26)))/Schoolagers),"0")</f>
        <v>1486.8048000000001</v>
      </c>
      <c r="M11" s="212">
        <f>IF(Schoolagers&gt;0,(SUM(D$27:D$28))/TotalClassrooms/Schoolagers*SchoolageClassroom,"0")</f>
        <v>332.8</v>
      </c>
      <c r="N11" s="212">
        <f>IF(Schoolagers&gt;0,(SUM(MandatoryBenefits,AdditionalBenefits)/TotalChildren),"0")</f>
        <v>1302.2674772463852</v>
      </c>
      <c r="O11" s="212">
        <f>IF(Schoolagers&gt;0,(Subs/TotalClassrooms/Schoolagers*SchoolageClassroom),"0")</f>
        <v>207.2</v>
      </c>
      <c r="P11" s="215">
        <f>SUM(NP_EdProgram/TotalChildren)</f>
        <v>1470.2712563636364</v>
      </c>
      <c r="Q11" s="215">
        <f>IF(Schoolagers&gt;0,(NP_Occupancy/TotalClassrooms/Schoolagers*SchoolageClassroom),"0")</f>
        <v>778.56722222222209</v>
      </c>
      <c r="R11" s="215">
        <f>(NP_MgtAdmin/TotalChildren)</f>
        <v>120.83900984615384</v>
      </c>
      <c r="S11" s="215">
        <f>IF(Schoolagers&gt;0,(D52/Schoolagers),0)</f>
        <v>478.76552681159421</v>
      </c>
      <c r="T11" s="216">
        <f>IF(Schoolagers&gt;0,(SUM(D$53/TotalClassrooms)/Schoolagers),"0")</f>
        <v>0</v>
      </c>
      <c r="U11" s="216">
        <f>D$56/TotalChildren</f>
        <v>462.38742494520926</v>
      </c>
      <c r="V11" s="216">
        <f>SUM((GRT-D$73)/TotalChildren)</f>
        <v>109.21128087272723</v>
      </c>
      <c r="W11" s="194">
        <f>SUM(K11:V11)</f>
        <v>8066.092452504291</v>
      </c>
      <c r="X11" s="224">
        <f>W11*Schoolagers</f>
        <v>241982.77357512873</v>
      </c>
      <c r="Y11" s="224">
        <f>X11-Z11</f>
        <v>49765.450917877431</v>
      </c>
      <c r="Z11" s="33">
        <f>(SUM(K11,N11,M11:R11,T11:V11)*Schoolagers*60%)+(SUM(L11,S11)*Schoolagers)</f>
        <v>192217.32265725129</v>
      </c>
      <c r="AA11" s="230">
        <f>IF(Schoolagers&gt;0,(Z11/Schoolagers),"0")</f>
        <v>6407.244088575043</v>
      </c>
      <c r="AB11" s="29" t="s">
        <v>101</v>
      </c>
    </row>
    <row r="12" spans="1:28" ht="14" customHeight="1" thickBot="1">
      <c r="A12" s="51">
        <f>SUM(A7:A11)</f>
        <v>110</v>
      </c>
      <c r="B12" s="78"/>
      <c r="C12" s="79"/>
      <c r="D12" s="80"/>
      <c r="E12" s="196">
        <f>SUM(E7:E11)</f>
        <v>10</v>
      </c>
      <c r="F12" s="51">
        <f>SUM(F7:F11)</f>
        <v>5</v>
      </c>
      <c r="H12" s="11"/>
      <c r="I12" s="29"/>
      <c r="J12" s="33"/>
      <c r="K12" s="195">
        <f t="shared" ref="K12:U12" si="1">SUM(K7*Infants,K8*Toddlers,K9*Pre3Children,K10*Pre4Children,K11*Schoolagers)</f>
        <v>144867.6299616</v>
      </c>
      <c r="L12" s="195">
        <f>SUM(L7*Infants,L8*Toddlers,L9*Pre3Children,L10*Pre4Children,L11*Schoolagers)</f>
        <v>341965.10399999993</v>
      </c>
      <c r="M12" s="195">
        <f t="shared" si="1"/>
        <v>49920</v>
      </c>
      <c r="N12" s="195">
        <f t="shared" si="1"/>
        <v>143249.42249710235</v>
      </c>
      <c r="O12" s="195">
        <f t="shared" si="1"/>
        <v>31080</v>
      </c>
      <c r="P12" s="195">
        <f t="shared" si="1"/>
        <v>161729.8382</v>
      </c>
      <c r="Q12" s="195">
        <f t="shared" si="1"/>
        <v>116785.08333333331</v>
      </c>
      <c r="R12" s="195">
        <f t="shared" si="1"/>
        <v>13292.291083076921</v>
      </c>
      <c r="S12" s="195">
        <f t="shared" si="1"/>
        <v>14362.965804347827</v>
      </c>
      <c r="T12" s="195">
        <f t="shared" si="1"/>
        <v>0</v>
      </c>
      <c r="U12" s="195">
        <f t="shared" si="1"/>
        <v>50862.61674397302</v>
      </c>
      <c r="V12" s="195">
        <f>SUM(V7*Infants,V8*Toddlers,V9*Pre3Children,V10*Pre4Children,V11*Schoolagers)</f>
        <v>12013.240895999996</v>
      </c>
      <c r="W12" s="195">
        <f>SUM(W7*Infants,W8*Toddlers,W9*Pre3Children,W10*Pre4Children,W11*Schoolagers)</f>
        <v>1080128.1925194333</v>
      </c>
      <c r="X12" s="225">
        <f>SUM(X7:X11)</f>
        <v>1080128.1925194333</v>
      </c>
      <c r="Z12" s="225">
        <f>SUM(Z7:Z11)</f>
        <v>1080128.1925194333</v>
      </c>
      <c r="AA12" s="228"/>
    </row>
    <row r="13" spans="1:28" ht="26" customHeight="1">
      <c r="B13" s="29"/>
      <c r="F13" s="329">
        <v>0.2</v>
      </c>
      <c r="G13" s="602" t="s">
        <v>102</v>
      </c>
      <c r="H13" s="602"/>
      <c r="I13" s="602"/>
      <c r="K13" s="63"/>
      <c r="L13" s="203"/>
      <c r="M13" s="203"/>
      <c r="N13" s="74"/>
      <c r="O13" s="15"/>
      <c r="P13" s="29"/>
      <c r="Q13" s="29"/>
      <c r="Z13" s="20"/>
    </row>
    <row r="14" spans="1:28">
      <c r="F14" s="1"/>
      <c r="K14" s="332"/>
      <c r="L14" s="332"/>
      <c r="M14" s="332"/>
      <c r="N14" s="332"/>
      <c r="O14" s="332"/>
      <c r="P14" s="332"/>
      <c r="Q14" s="332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3"/>
      <c r="H15" s="203"/>
      <c r="I15" s="203"/>
      <c r="K15" s="435">
        <v>0</v>
      </c>
      <c r="L15" s="29" t="s">
        <v>424</v>
      </c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Z15" s="20"/>
    </row>
    <row r="16" spans="1:28">
      <c r="B16" s="2" t="s">
        <v>103</v>
      </c>
      <c r="D16" s="19" t="s">
        <v>104</v>
      </c>
      <c r="E16" s="19" t="s">
        <v>105</v>
      </c>
      <c r="G16" s="203"/>
      <c r="H16" s="203"/>
      <c r="I16" s="203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106</v>
      </c>
      <c r="C17" s="4"/>
      <c r="E17" s="29" t="s">
        <v>2</v>
      </c>
      <c r="F17" s="300" t="s">
        <v>1</v>
      </c>
      <c r="G17" s="301" t="s">
        <v>3</v>
      </c>
      <c r="H17" s="300" t="s">
        <v>4</v>
      </c>
      <c r="I17" s="38"/>
      <c r="K17" s="29" t="s">
        <v>2</v>
      </c>
      <c r="L17" s="300" t="s">
        <v>1</v>
      </c>
      <c r="M17" s="301" t="s">
        <v>3</v>
      </c>
      <c r="N17" s="300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107</v>
      </c>
      <c r="C18" s="11"/>
      <c r="D18" s="11">
        <f>IF(E$1="Star 2+/3",(A18*F18+L18),
IF(E$1="Star 4",(A18*G18+M18),
IF(E$1="Star 5",(A18*H18+N18),
(A18*E18+K18))))</f>
        <v>63148.683312000001</v>
      </c>
      <c r="E18" s="362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2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2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2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2">
        <f>SUM($K$15*E18)</f>
        <v>0</v>
      </c>
      <c r="L18" s="362">
        <f t="shared" ref="L18:N20" si="2">SUM($K$15*F18)</f>
        <v>0</v>
      </c>
      <c r="M18" s="362">
        <f t="shared" si="2"/>
        <v>0</v>
      </c>
      <c r="N18" s="362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108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2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2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2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2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2">
        <f t="shared" ref="K19:K20" si="4">SUM($K$15*E19)</f>
        <v>0</v>
      </c>
      <c r="L19" s="362">
        <f t="shared" si="2"/>
        <v>0</v>
      </c>
      <c r="M19" s="362">
        <f t="shared" si="2"/>
        <v>0</v>
      </c>
      <c r="N19" s="362">
        <f t="shared" si="2"/>
        <v>0</v>
      </c>
    </row>
    <row r="20" spans="1:18">
      <c r="A20" s="61">
        <f>IF(TotalChildren&lt;30,0.5,1)</f>
        <v>1</v>
      </c>
      <c r="B20" s="29" t="s">
        <v>109</v>
      </c>
      <c r="C20" s="11"/>
      <c r="D20" s="11">
        <f t="shared" si="3"/>
        <v>31200</v>
      </c>
      <c r="E20" s="362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2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2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2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2">
        <f t="shared" si="4"/>
        <v>0</v>
      </c>
      <c r="L20" s="362">
        <f t="shared" si="2"/>
        <v>0</v>
      </c>
      <c r="M20" s="362">
        <f t="shared" si="2"/>
        <v>0</v>
      </c>
      <c r="N20" s="362">
        <f t="shared" si="2"/>
        <v>0</v>
      </c>
    </row>
    <row r="21" spans="1:18">
      <c r="A21" s="64"/>
      <c r="B21" s="32" t="s">
        <v>110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19"/>
      <c r="M21" s="217"/>
      <c r="N21" s="220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19"/>
      <c r="M22" s="218"/>
      <c r="N22" s="220"/>
    </row>
    <row r="23" spans="1:18">
      <c r="A23" s="61">
        <f>TotalClassrooms-SchoolageClassroom</f>
        <v>4</v>
      </c>
      <c r="B23" s="29" t="s">
        <v>111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19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19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19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19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2"/>
      <c r="J23" s="5"/>
      <c r="K23" s="362">
        <f>SUM($K$15*E23)</f>
        <v>0</v>
      </c>
      <c r="L23" s="362">
        <f t="shared" ref="L23:L25" si="6">SUM($K$15*F23)</f>
        <v>0</v>
      </c>
      <c r="M23" s="362">
        <f t="shared" ref="M23:M25" si="7">SUM($K$15*G23)</f>
        <v>0</v>
      </c>
      <c r="N23" s="362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112</v>
      </c>
      <c r="C24" s="11"/>
      <c r="D24" s="11">
        <f t="shared" si="5"/>
        <v>124800</v>
      </c>
      <c r="E24" s="219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19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19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19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2">
        <f t="shared" ref="K24" si="9">SUM($K$15*E24)</f>
        <v>0</v>
      </c>
      <c r="L24" s="362">
        <f t="shared" si="6"/>
        <v>0</v>
      </c>
      <c r="M24" s="362">
        <f t="shared" si="7"/>
        <v>0</v>
      </c>
      <c r="N24" s="362">
        <f t="shared" si="8"/>
        <v>0</v>
      </c>
    </row>
    <row r="25" spans="1:18">
      <c r="A25" s="61">
        <f>SchoolageClassroom</f>
        <v>1</v>
      </c>
      <c r="B25" s="29" t="s">
        <v>113</v>
      </c>
      <c r="C25" s="11"/>
      <c r="D25" s="11">
        <f t="shared" si="5"/>
        <v>25884.143999999997</v>
      </c>
      <c r="E25" s="219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19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19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19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2">
        <f>SUM($K$15*E25)</f>
        <v>0</v>
      </c>
      <c r="L25" s="362">
        <f t="shared" si="6"/>
        <v>0</v>
      </c>
      <c r="M25" s="362">
        <f t="shared" si="7"/>
        <v>0</v>
      </c>
      <c r="N25" s="362">
        <f t="shared" si="8"/>
        <v>0</v>
      </c>
    </row>
    <row r="26" spans="1:18">
      <c r="A26" s="61">
        <f>E11-SchoolageClassroom</f>
        <v>1</v>
      </c>
      <c r="B26" s="29" t="s">
        <v>114</v>
      </c>
      <c r="C26" s="11"/>
      <c r="D26" s="11">
        <f t="shared" si="5"/>
        <v>18720</v>
      </c>
      <c r="E26" s="219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19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19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19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2">
        <f t="shared" ref="K26:K28" si="10">SUM($K$15*E26)</f>
        <v>0</v>
      </c>
      <c r="L26" s="362">
        <f t="shared" ref="L26:L28" si="11">SUM($K$15*F26)</f>
        <v>0</v>
      </c>
      <c r="M26" s="362">
        <f t="shared" ref="M26:M28" si="12">SUM($K$15*G26)</f>
        <v>0</v>
      </c>
      <c r="N26" s="362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115</v>
      </c>
      <c r="C27" s="11"/>
      <c r="D27" s="11">
        <f t="shared" si="5"/>
        <v>49920</v>
      </c>
      <c r="E27" s="219">
        <f>E24</f>
        <v>31200</v>
      </c>
      <c r="F27" s="219">
        <f t="shared" ref="F27:H27" si="14">F24</f>
        <v>31200</v>
      </c>
      <c r="G27" s="219">
        <f t="shared" si="14"/>
        <v>34320</v>
      </c>
      <c r="H27" s="219">
        <f t="shared" si="14"/>
        <v>37440</v>
      </c>
      <c r="I27" s="436">
        <f>IF(E1="Star 4",(G27/2080),IF(E1="Star 5",(H27/2080),(F27/2080)))</f>
        <v>15</v>
      </c>
      <c r="J27" s="29" t="s">
        <v>116</v>
      </c>
      <c r="K27" s="362">
        <f t="shared" si="10"/>
        <v>0</v>
      </c>
      <c r="L27" s="362">
        <f t="shared" si="11"/>
        <v>0</v>
      </c>
      <c r="M27" s="362">
        <f t="shared" si="12"/>
        <v>0</v>
      </c>
      <c r="N27" s="362">
        <f t="shared" si="13"/>
        <v>0</v>
      </c>
      <c r="O27" s="437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117</v>
      </c>
      <c r="C28" s="11"/>
      <c r="D28" s="11">
        <f t="shared" si="5"/>
        <v>0</v>
      </c>
      <c r="E28" s="221">
        <f>E27</f>
        <v>31200</v>
      </c>
      <c r="F28" s="221">
        <f t="shared" ref="F28:H28" si="15">F27</f>
        <v>31200</v>
      </c>
      <c r="G28" s="221">
        <f t="shared" si="15"/>
        <v>34320</v>
      </c>
      <c r="H28" s="221">
        <f t="shared" si="15"/>
        <v>37440</v>
      </c>
      <c r="I28" s="209"/>
      <c r="J28" s="29"/>
      <c r="K28" s="362">
        <f t="shared" si="10"/>
        <v>0</v>
      </c>
      <c r="L28" s="362">
        <f t="shared" si="11"/>
        <v>0</v>
      </c>
      <c r="M28" s="362">
        <f t="shared" si="12"/>
        <v>0</v>
      </c>
      <c r="N28" s="362">
        <f>SUM($K$15*H28)</f>
        <v>0</v>
      </c>
    </row>
    <row r="29" spans="1:18">
      <c r="A29" s="71">
        <f>SUM(A23:A28)</f>
        <v>11.6</v>
      </c>
      <c r="B29" s="32" t="s">
        <v>118</v>
      </c>
      <c r="D29" s="70">
        <f>SUM(D23:D28)</f>
        <v>391885.10399999993</v>
      </c>
      <c r="F29" s="70"/>
      <c r="L29" s="11"/>
    </row>
    <row r="30" spans="1:18">
      <c r="B30" s="32" t="s">
        <v>119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120</v>
      </c>
      <c r="D32" s="11">
        <f>SUM(A23:A27)*E32*8*(I27+O27)</f>
        <v>13920</v>
      </c>
      <c r="E32" s="27">
        <f>Paid_Leave</f>
        <v>10</v>
      </c>
      <c r="F32" s="29" t="s">
        <v>121</v>
      </c>
    </row>
    <row r="33" spans="2:8">
      <c r="B33" s="29" t="s">
        <v>122</v>
      </c>
      <c r="D33" s="15">
        <f>SUM(A23:A27)*E33*8*(I27+O27)</f>
        <v>13920</v>
      </c>
      <c r="E33" s="27">
        <f>Sick_Days</f>
        <v>10</v>
      </c>
      <c r="F33" s="29" t="s">
        <v>123</v>
      </c>
    </row>
    <row r="34" spans="2:8">
      <c r="B34" s="34" t="s">
        <v>124</v>
      </c>
      <c r="D34" s="385">
        <f>E34*(I27+O27)</f>
        <v>3240</v>
      </c>
      <c r="E34" s="27">
        <f>24*(A29-A20-A27-A28)</f>
        <v>216</v>
      </c>
      <c r="F34" s="29" t="s">
        <v>125</v>
      </c>
      <c r="H34" s="29"/>
    </row>
    <row r="35" spans="2:8">
      <c r="B35" s="32" t="s">
        <v>126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127</v>
      </c>
      <c r="C37" s="12"/>
      <c r="D37" s="16">
        <f>D30+D35</f>
        <v>567832.73396159988</v>
      </c>
    </row>
    <row r="38" spans="2:8">
      <c r="B38" s="60" t="s">
        <v>128</v>
      </c>
    </row>
    <row r="39" spans="2:8">
      <c r="B39" s="29" t="s">
        <v>129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130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131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132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133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28">
        <f>E43/D58</f>
        <v>0.58558093911900655</v>
      </c>
      <c r="G43" s="22"/>
    </row>
    <row r="44" spans="2:8">
      <c r="B44" s="60" t="s">
        <v>134</v>
      </c>
      <c r="C44" s="17"/>
      <c r="D44" s="18"/>
      <c r="E44" s="11"/>
    </row>
    <row r="45" spans="2:8">
      <c r="B45" s="34" t="s">
        <v>135</v>
      </c>
      <c r="C45" s="279">
        <f>SUM(5864,5864*K15)</f>
        <v>5864</v>
      </c>
      <c r="D45" s="14">
        <f>IF(HealthIns="Yes", (Addl_benefits_per_staff*A17), 0)</f>
        <v>85614.399999999994</v>
      </c>
      <c r="E45" s="5" t="s">
        <v>422</v>
      </c>
      <c r="F45" s="5"/>
    </row>
    <row r="46" spans="2:8">
      <c r="B46" s="21" t="s">
        <v>136</v>
      </c>
      <c r="C46" s="18"/>
      <c r="D46" s="16">
        <f>D37+D43+D45</f>
        <v>711082.15645870229</v>
      </c>
      <c r="E46" s="1">
        <f>D46/D58</f>
        <v>0.66573560774327234</v>
      </c>
      <c r="F46" t="s">
        <v>137</v>
      </c>
    </row>
    <row r="47" spans="2:8">
      <c r="B47" s="21"/>
      <c r="C47" s="18"/>
      <c r="D47" s="16"/>
      <c r="E47" s="1"/>
      <c r="H47" s="32"/>
    </row>
    <row r="48" spans="2:8">
      <c r="B48" s="2" t="s">
        <v>138</v>
      </c>
      <c r="C48" s="429">
        <v>0</v>
      </c>
      <c r="D48" s="438" t="s">
        <v>424</v>
      </c>
    </row>
    <row r="49" spans="1:12" ht="14" thickBot="1">
      <c r="A49" s="66"/>
      <c r="B49" s="34" t="s">
        <v>139</v>
      </c>
      <c r="C49" s="17"/>
      <c r="D49" s="31">
        <f>SUM(((Nonpersonnel!F41*TotalChildren)*'Quality Center Profile'!C48),(Nonpersonnel!F41*TotalChildren))</f>
        <v>161729.8382</v>
      </c>
      <c r="F49" s="29" t="s">
        <v>140</v>
      </c>
    </row>
    <row r="50" spans="1:12">
      <c r="A50" s="69"/>
      <c r="B50" s="34" t="s">
        <v>141</v>
      </c>
      <c r="C50" s="62"/>
      <c r="D50" s="31">
        <f>SUM(((Nonpersonnel!F40*TotalClassrooms)*'Quality Center Profile'!C48),(Nonpersonnel!F40*TotalClassrooms))</f>
        <v>116785.08333333331</v>
      </c>
      <c r="F50" s="29" t="s">
        <v>140</v>
      </c>
      <c r="H50" s="99" t="s">
        <v>142</v>
      </c>
      <c r="I50" s="100"/>
    </row>
    <row r="51" spans="1:12">
      <c r="A51" s="66"/>
      <c r="B51" s="34" t="s">
        <v>143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140</v>
      </c>
      <c r="G51" s="17"/>
      <c r="H51" s="101" t="str">
        <f>B7</f>
        <v>Infants</v>
      </c>
      <c r="I51" s="102">
        <f>H7*Infants</f>
        <v>178745.53314599398</v>
      </c>
    </row>
    <row r="52" spans="1:12">
      <c r="A52" s="66"/>
      <c r="B52" s="34" t="s">
        <v>144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Two-year-olds</v>
      </c>
      <c r="I52" s="102">
        <f>H8*Toddlers</f>
        <v>221977.71746554552</v>
      </c>
    </row>
    <row r="53" spans="1:12">
      <c r="B53" s="34" t="s">
        <v>145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243593.80962532124</v>
      </c>
    </row>
    <row r="54" spans="1:12">
      <c r="A54" s="66"/>
      <c r="B54" s="21" t="s">
        <v>146</v>
      </c>
      <c r="C54" s="16"/>
      <c r="D54" s="65">
        <f>SUM(D49:D53)</f>
        <v>306170.17842075805</v>
      </c>
      <c r="E54" s="1">
        <f>D54/D58</f>
        <v>0.2866453446376801</v>
      </c>
      <c r="F54" t="s">
        <v>137</v>
      </c>
      <c r="H54" s="101" t="str">
        <f>B10</f>
        <v>Four-year-olds</v>
      </c>
      <c r="I54" s="102">
        <f>H10*Pre4Children</f>
        <v>243593.80962532124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192217.32265725129</v>
      </c>
    </row>
    <row r="56" spans="1:12" ht="13" customHeight="1">
      <c r="A56" s="66"/>
      <c r="B56" s="10" t="s">
        <v>147</v>
      </c>
      <c r="D56" s="31">
        <f>E56*(Personnel+Nonpersonnel)</f>
        <v>50862.61674397302</v>
      </c>
      <c r="E56" s="13">
        <v>0.05</v>
      </c>
      <c r="F56" t="s">
        <v>137</v>
      </c>
      <c r="H56" s="105" t="s">
        <v>97</v>
      </c>
      <c r="I56" s="106">
        <f>SUM(I51:I55)</f>
        <v>1080128.1925194333</v>
      </c>
      <c r="K56" s="32"/>
      <c r="L56" s="11"/>
    </row>
    <row r="57" spans="1:12" ht="14" thickBot="1">
      <c r="A57" s="77"/>
      <c r="B57" s="29" t="s">
        <v>21</v>
      </c>
      <c r="C57" s="273">
        <v>0.08</v>
      </c>
      <c r="D57" s="282">
        <f>IF('VariablesINPUT-CTR'!C16='VariablesINPUT-CTR'!F16,'Quality Center Profile'!C57*'Quality Center Profile'!D72,0)</f>
        <v>12013.240895999996</v>
      </c>
      <c r="E57" s="29" t="s">
        <v>148</v>
      </c>
      <c r="G57" s="77"/>
      <c r="H57" s="103"/>
      <c r="I57" s="104">
        <f>SUM(I56,D73)-D59</f>
        <v>0</v>
      </c>
    </row>
    <row r="58" spans="1:12">
      <c r="A58" s="66"/>
      <c r="B58" s="21" t="s">
        <v>149</v>
      </c>
      <c r="D58" s="52">
        <f>SUM(Personnel,Nonpersonnel,Reserve_Fund)</f>
        <v>1068114.9516234333</v>
      </c>
      <c r="E58" s="77" t="s">
        <v>150</v>
      </c>
      <c r="F58" s="77"/>
      <c r="G58" s="12">
        <f>D58/12</f>
        <v>89009.579301952777</v>
      </c>
      <c r="H58" s="29"/>
    </row>
    <row r="59" spans="1:12">
      <c r="D59" s="372">
        <f>SUM(D57:D58)</f>
        <v>1080128.1925194333</v>
      </c>
      <c r="E59" s="5" t="s">
        <v>151</v>
      </c>
    </row>
    <row r="60" spans="1:12">
      <c r="A60" s="29" t="s">
        <v>152</v>
      </c>
      <c r="D60" s="31"/>
      <c r="G60" s="331"/>
      <c r="H60" s="331"/>
      <c r="I60" s="331"/>
      <c r="J60" s="331"/>
      <c r="K60" s="331"/>
    </row>
    <row r="61" spans="1:12" ht="14">
      <c r="A61" s="246">
        <f>SUM(A64:A65)</f>
        <v>110</v>
      </c>
      <c r="B61" s="366" t="s">
        <v>153</v>
      </c>
      <c r="C61" s="384" t="s">
        <v>154</v>
      </c>
      <c r="D61" s="365" t="s">
        <v>154</v>
      </c>
      <c r="E61" s="365" t="s">
        <v>155</v>
      </c>
      <c r="F61" s="364"/>
      <c r="G61" s="364"/>
      <c r="H61" s="364"/>
      <c r="I61" s="364"/>
      <c r="J61" s="29"/>
    </row>
    <row r="62" spans="1:12">
      <c r="A62" s="77"/>
      <c r="B62" s="245" t="s">
        <v>64</v>
      </c>
      <c r="D62" s="25"/>
      <c r="E62" s="29"/>
      <c r="I62" s="11"/>
      <c r="J62" s="29"/>
    </row>
    <row r="63" spans="1:12">
      <c r="A63" s="272">
        <f>'VariablesINPUT-CTR'!D45</f>
        <v>5</v>
      </c>
      <c r="B63" s="77" t="s">
        <v>156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157</v>
      </c>
      <c r="G63" s="48" t="s">
        <v>158</v>
      </c>
      <c r="H63" s="48" t="s">
        <v>159</v>
      </c>
      <c r="I63" s="260" t="s">
        <v>160</v>
      </c>
      <c r="J63" s="48" t="s">
        <v>17</v>
      </c>
    </row>
    <row r="64" spans="1:12">
      <c r="A64" s="272">
        <f>'VariablesINPUT-CTR'!D44</f>
        <v>105</v>
      </c>
      <c r="B64" s="77" t="s">
        <v>161</v>
      </c>
      <c r="D64" s="25">
        <f>SUM(F64:J64)*12</f>
        <v>1181815.26</v>
      </c>
      <c r="F64" s="370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9493.11</v>
      </c>
      <c r="G64" s="370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16418.375</v>
      </c>
      <c r="H64" s="370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19310.685000000001</v>
      </c>
      <c r="I64" s="370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19310.685000000001</v>
      </c>
      <c r="J64" s="370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33951.75</v>
      </c>
    </row>
    <row r="65" spans="1:11">
      <c r="A65" s="272">
        <f>'VariablesINPUT-CTR'!C44</f>
        <v>5</v>
      </c>
      <c r="B65" s="77" t="s">
        <v>66</v>
      </c>
      <c r="D65" s="25">
        <f>SUM(F65:J65)*12</f>
        <v>37272</v>
      </c>
      <c r="F65" s="261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880</v>
      </c>
      <c r="G65" s="261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635</v>
      </c>
      <c r="H65" s="261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575</v>
      </c>
      <c r="I65" s="261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575</v>
      </c>
      <c r="J65" s="261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441</v>
      </c>
    </row>
    <row r="66" spans="1:11">
      <c r="A66" s="77"/>
      <c r="B66" s="77" t="s">
        <v>162</v>
      </c>
      <c r="D66" s="271"/>
      <c r="E66" s="29"/>
      <c r="G66" s="12">
        <f>D64*8%</f>
        <v>94545.220799999996</v>
      </c>
    </row>
    <row r="67" spans="1:11">
      <c r="A67" s="77"/>
      <c r="B67" s="270" t="s">
        <v>163</v>
      </c>
      <c r="D67" s="65">
        <f>SUM(D63:D66)</f>
        <v>1251379.26</v>
      </c>
      <c r="E67" s="30" t="s">
        <v>164</v>
      </c>
      <c r="G67" s="12">
        <f>SUM(G66,V12)</f>
        <v>106558.46169599998</v>
      </c>
    </row>
    <row r="68" spans="1:11">
      <c r="K68" s="2"/>
    </row>
    <row r="69" spans="1:11">
      <c r="B69" s="275" t="s">
        <v>165</v>
      </c>
    </row>
    <row r="70" spans="1:11">
      <c r="B70" s="34" t="s">
        <v>166</v>
      </c>
      <c r="C70" s="273">
        <f>EnrollEffic</f>
        <v>0.85</v>
      </c>
      <c r="D70" s="31">
        <f>D67-C70*D67</f>
        <v>187706.88899999997</v>
      </c>
    </row>
    <row r="71" spans="1:11">
      <c r="B71" s="34" t="s">
        <v>167</v>
      </c>
      <c r="C71" s="273">
        <f>BadDebt</f>
        <v>0.03</v>
      </c>
      <c r="D71" s="274">
        <f>C71*D67</f>
        <v>37541.377800000002</v>
      </c>
      <c r="H71" s="283"/>
    </row>
    <row r="72" spans="1:11">
      <c r="D72" s="65">
        <f>SUM(D70-D71)</f>
        <v>150165.51119999995</v>
      </c>
      <c r="E72" s="540">
        <f>D72-(D72*2)</f>
        <v>-150165.51119999995</v>
      </c>
      <c r="H72" s="283"/>
    </row>
    <row r="73" spans="1:11" ht="17">
      <c r="B73" s="77" t="s">
        <v>168</v>
      </c>
      <c r="D73" s="284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5"/>
    </row>
    <row r="74" spans="1:11">
      <c r="B74" t="s">
        <v>169</v>
      </c>
      <c r="D74" s="25">
        <f>D67-D72</f>
        <v>1101213.7488000002</v>
      </c>
    </row>
    <row r="75" spans="1:11">
      <c r="B75" s="276" t="s">
        <v>170</v>
      </c>
      <c r="C75" s="276"/>
      <c r="D75" s="277">
        <f>D74-D59</f>
        <v>21085.556280566845</v>
      </c>
      <c r="E75" s="278">
        <f>D75/D58</f>
        <v>1.9740905460146216E-2</v>
      </c>
      <c r="F75" s="276" t="s">
        <v>137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66"/>
  <sheetViews>
    <sheetView tabSelected="1" topLeftCell="B1" zoomScaleNormal="100" workbookViewId="0">
      <selection activeCell="C9" sqref="C9"/>
    </sheetView>
  </sheetViews>
  <sheetFormatPr baseColWidth="10" defaultColWidth="8.83203125" defaultRowHeight="13"/>
  <cols>
    <col min="1" max="1" width="3.1640625" style="509" customWidth="1"/>
    <col min="2" max="2" width="31.5" style="115" customWidth="1"/>
    <col min="3" max="3" width="26" style="115" customWidth="1"/>
    <col min="4" max="4" width="35.1640625" style="115" customWidth="1"/>
    <col min="5" max="5" width="14" style="115" customWidth="1"/>
    <col min="6" max="6" width="25.83203125" style="115" customWidth="1"/>
    <col min="7" max="7" width="18.6640625" style="115" customWidth="1"/>
    <col min="8" max="8" width="20.1640625" style="115" customWidth="1"/>
    <col min="9" max="9" width="20.33203125" style="115" customWidth="1"/>
    <col min="10" max="10" width="7.5" style="661" customWidth="1"/>
    <col min="11" max="11" width="13.1640625" style="662" customWidth="1"/>
    <col min="12" max="12" width="9.6640625" style="509" bestFit="1" customWidth="1"/>
    <col min="13" max="107" width="8.83203125" style="509"/>
    <col min="108" max="16384" width="8.83203125" style="115"/>
  </cols>
  <sheetData>
    <row r="1" spans="1:107" s="509" customFormat="1" ht="14" thickBot="1">
      <c r="I1" s="674"/>
      <c r="J1" s="662"/>
      <c r="K1" s="662"/>
    </row>
    <row r="2" spans="1:107" ht="14">
      <c r="B2" s="607" t="s">
        <v>458</v>
      </c>
      <c r="C2" s="506"/>
      <c r="D2" s="506"/>
      <c r="E2" s="599" t="s">
        <v>459</v>
      </c>
      <c r="F2" s="598" t="s">
        <v>460</v>
      </c>
      <c r="G2" s="624" t="s">
        <v>460</v>
      </c>
      <c r="H2" s="507" t="s">
        <v>461</v>
      </c>
      <c r="I2" s="507" t="s">
        <v>462</v>
      </c>
      <c r="J2" s="663" t="s">
        <v>463</v>
      </c>
      <c r="K2" s="664"/>
    </row>
    <row r="3" spans="1:107" ht="22" customHeight="1">
      <c r="B3" s="510" t="s">
        <v>464</v>
      </c>
      <c r="C3" s="625"/>
      <c r="D3" s="617"/>
      <c r="E3" s="620" t="s">
        <v>6</v>
      </c>
      <c r="F3" s="588" t="s">
        <v>7</v>
      </c>
      <c r="G3" s="620"/>
      <c r="H3" s="626" t="s">
        <v>7</v>
      </c>
      <c r="I3" s="626"/>
      <c r="J3" s="665"/>
      <c r="K3" s="664"/>
    </row>
    <row r="4" spans="1:107" ht="14">
      <c r="B4" s="511" t="s">
        <v>465</v>
      </c>
      <c r="C4" s="627"/>
      <c r="D4" s="627"/>
      <c r="E4" s="627"/>
      <c r="F4" s="627"/>
      <c r="G4" s="627"/>
      <c r="H4" s="627"/>
      <c r="I4" s="627"/>
    </row>
    <row r="5" spans="1:107">
      <c r="B5" s="508"/>
      <c r="C5" s="617"/>
      <c r="D5" s="617"/>
      <c r="E5" s="617"/>
      <c r="F5" s="617"/>
      <c r="G5" s="617"/>
      <c r="H5" s="617"/>
      <c r="I5" s="631"/>
      <c r="J5" s="666"/>
      <c r="K5" s="667"/>
    </row>
    <row r="6" spans="1:107" ht="16" customHeight="1">
      <c r="B6" s="512" t="s">
        <v>466</v>
      </c>
      <c r="C6" s="628" t="s">
        <v>467</v>
      </c>
      <c r="D6" s="629" t="s">
        <v>468</v>
      </c>
      <c r="E6" s="630"/>
      <c r="F6" s="631"/>
      <c r="G6" s="617"/>
      <c r="H6" s="617"/>
      <c r="I6" s="631"/>
    </row>
    <row r="7" spans="1:107" ht="14">
      <c r="B7" s="513"/>
      <c r="C7" s="444">
        <v>2</v>
      </c>
      <c r="D7" s="632" t="s">
        <v>469</v>
      </c>
      <c r="E7" s="617"/>
      <c r="F7" s="617"/>
      <c r="G7" s="633"/>
      <c r="H7" s="633"/>
      <c r="I7" s="617"/>
    </row>
    <row r="8" spans="1:107" ht="15" customHeight="1">
      <c r="B8" s="508"/>
      <c r="C8" s="444">
        <v>1</v>
      </c>
      <c r="D8" s="632" t="s">
        <v>470</v>
      </c>
      <c r="E8" s="617"/>
      <c r="F8" s="617"/>
      <c r="G8" s="633"/>
      <c r="H8" s="633"/>
      <c r="I8" s="617"/>
    </row>
    <row r="9" spans="1:107" ht="16" customHeight="1">
      <c r="B9" s="513"/>
      <c r="C9" s="444">
        <v>1</v>
      </c>
      <c r="D9" s="632" t="s">
        <v>471</v>
      </c>
      <c r="E9" s="617"/>
      <c r="F9" s="617"/>
      <c r="G9" s="633"/>
      <c r="H9" s="633"/>
      <c r="I9" s="617"/>
    </row>
    <row r="10" spans="1:107" ht="16" customHeight="1">
      <c r="B10" s="513"/>
      <c r="C10" s="444">
        <v>1</v>
      </c>
      <c r="D10" s="632" t="s">
        <v>472</v>
      </c>
      <c r="E10" s="617"/>
      <c r="F10" s="617"/>
      <c r="G10" s="633"/>
      <c r="H10" s="633"/>
      <c r="I10" s="617"/>
    </row>
    <row r="11" spans="1:107" ht="16" customHeight="1">
      <c r="B11" s="513"/>
      <c r="C11" s="444">
        <v>1</v>
      </c>
      <c r="D11" s="632" t="s">
        <v>473</v>
      </c>
      <c r="E11" s="617"/>
      <c r="F11" s="634"/>
      <c r="G11" s="635"/>
      <c r="H11" s="617"/>
      <c r="I11" s="633"/>
    </row>
    <row r="12" spans="1:107" ht="12.75" customHeight="1">
      <c r="B12" s="513"/>
      <c r="C12" s="636">
        <f>SUM(C7:C11)</f>
        <v>6</v>
      </c>
      <c r="D12" s="636" t="s">
        <v>474</v>
      </c>
      <c r="E12" s="637" t="str">
        <f>IF(C12&lt;7,"Cuidado infantil familiar en el hogar",IF(C12&gt;12," ","Casa de grupo"))</f>
        <v>Cuidado infantil familiar en el hogar</v>
      </c>
      <c r="F12" s="617"/>
      <c r="G12" s="636"/>
      <c r="H12" s="636"/>
      <c r="I12" s="617"/>
    </row>
    <row r="13" spans="1:107" ht="12.75" customHeight="1">
      <c r="B13" s="513"/>
      <c r="C13" s="636"/>
      <c r="D13" s="636"/>
      <c r="E13" s="638" t="str">
        <f>IF(C12&gt;12, "**ERROR-Demasiado grande**", " ")</f>
        <v xml:space="preserve"> </v>
      </c>
      <c r="F13" s="617"/>
      <c r="G13" s="636"/>
      <c r="H13" s="636"/>
      <c r="I13" s="617"/>
    </row>
    <row r="14" spans="1:107" customFormat="1" ht="12.75" hidden="1" customHeight="1">
      <c r="A14" s="450"/>
      <c r="B14" s="514" t="s">
        <v>20</v>
      </c>
      <c r="C14" s="639"/>
      <c r="D14" s="622"/>
      <c r="E14" s="640"/>
      <c r="F14" s="626"/>
      <c r="G14" s="640"/>
      <c r="H14" s="641"/>
      <c r="I14" s="622"/>
      <c r="J14" s="668"/>
      <c r="K14" s="669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</row>
    <row r="15" spans="1:107" customFormat="1" ht="17" hidden="1" customHeight="1">
      <c r="A15" s="450"/>
      <c r="B15" s="515" t="s">
        <v>21</v>
      </c>
      <c r="C15" s="441" t="s">
        <v>22</v>
      </c>
      <c r="D15" s="622"/>
      <c r="E15" s="626" t="s">
        <v>23</v>
      </c>
      <c r="F15" s="626" t="s">
        <v>22</v>
      </c>
      <c r="G15" s="640"/>
      <c r="H15" s="641"/>
      <c r="I15" s="648"/>
      <c r="J15" s="668"/>
      <c r="K15" s="669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0"/>
      <c r="BZ15" s="450"/>
      <c r="CA15" s="450"/>
      <c r="CB15" s="450"/>
      <c r="CC15" s="450"/>
      <c r="CD15" s="450"/>
      <c r="CE15" s="450"/>
      <c r="CF15" s="450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</row>
    <row r="16" spans="1:107" customFormat="1" ht="16" hidden="1" customHeight="1">
      <c r="A16" s="450"/>
      <c r="B16" s="515" t="s">
        <v>24</v>
      </c>
      <c r="C16" s="441" t="s">
        <v>171</v>
      </c>
      <c r="D16" s="622"/>
      <c r="E16" s="626" t="s">
        <v>26</v>
      </c>
      <c r="F16" s="626" t="s">
        <v>25</v>
      </c>
      <c r="G16" s="626" t="s">
        <v>171</v>
      </c>
      <c r="H16" s="641"/>
      <c r="I16" s="622"/>
      <c r="J16" s="668"/>
      <c r="K16" s="669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</row>
    <row r="17" spans="1:107" hidden="1">
      <c r="B17" s="508"/>
      <c r="C17" s="617"/>
      <c r="D17" s="617"/>
      <c r="E17" s="620"/>
      <c r="F17" s="620"/>
      <c r="G17" s="620"/>
      <c r="H17" s="617"/>
      <c r="I17" s="617"/>
    </row>
    <row r="18" spans="1:107" ht="12.75" customHeight="1">
      <c r="B18" s="508"/>
      <c r="C18" s="617"/>
      <c r="D18" s="617"/>
      <c r="E18" s="617"/>
      <c r="F18" s="617"/>
      <c r="G18" s="617"/>
      <c r="H18" s="617"/>
      <c r="I18" s="617"/>
    </row>
    <row r="19" spans="1:107">
      <c r="B19" s="516" t="s">
        <v>475</v>
      </c>
      <c r="C19" s="642" t="s">
        <v>476</v>
      </c>
      <c r="D19" s="617"/>
      <c r="E19" s="445">
        <v>0.85</v>
      </c>
      <c r="F19" s="630" t="s">
        <v>478</v>
      </c>
      <c r="G19" s="617"/>
      <c r="H19" s="627"/>
      <c r="I19" s="617"/>
    </row>
    <row r="20" spans="1:107">
      <c r="B20" s="517"/>
      <c r="C20" s="642" t="s">
        <v>477</v>
      </c>
      <c r="D20" s="617"/>
      <c r="E20" s="445">
        <v>0.03</v>
      </c>
      <c r="F20" s="630" t="s">
        <v>479</v>
      </c>
      <c r="G20" s="617"/>
      <c r="H20" s="617"/>
      <c r="I20" s="617"/>
    </row>
    <row r="21" spans="1:107">
      <c r="B21" s="508"/>
      <c r="C21" s="617"/>
      <c r="D21" s="617"/>
      <c r="E21" s="617"/>
      <c r="F21" s="617"/>
      <c r="G21" s="617" t="s">
        <v>33</v>
      </c>
      <c r="H21" s="617"/>
      <c r="I21" s="620"/>
      <c r="J21" s="670"/>
    </row>
    <row r="22" spans="1:107" customFormat="1">
      <c r="A22" s="450"/>
      <c r="B22" s="518" t="s">
        <v>481</v>
      </c>
      <c r="C22" s="643" t="s">
        <v>35</v>
      </c>
      <c r="D22" s="626" t="s">
        <v>36</v>
      </c>
      <c r="E22" s="626" t="s">
        <v>37</v>
      </c>
      <c r="F22" s="626" t="s">
        <v>38</v>
      </c>
      <c r="G22" s="626" t="s">
        <v>39</v>
      </c>
      <c r="H22" s="626" t="s">
        <v>40</v>
      </c>
      <c r="I22" s="626"/>
      <c r="J22" s="663"/>
      <c r="K22" s="669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0"/>
      <c r="CX22" s="450"/>
      <c r="CY22" s="450"/>
      <c r="CZ22" s="450"/>
      <c r="DA22" s="450"/>
      <c r="DB22" s="450"/>
      <c r="DC22" s="450"/>
    </row>
    <row r="23" spans="1:107" customFormat="1" ht="18" customHeight="1">
      <c r="A23" s="450"/>
      <c r="B23" s="519"/>
      <c r="C23" s="615" t="s">
        <v>480</v>
      </c>
      <c r="D23" s="684" t="s">
        <v>482</v>
      </c>
      <c r="E23" s="644"/>
      <c r="F23" s="645" t="s">
        <v>43</v>
      </c>
      <c r="G23" s="626"/>
      <c r="H23" s="646"/>
      <c r="I23" s="626" t="s">
        <v>44</v>
      </c>
      <c r="J23" s="663" t="s">
        <v>46</v>
      </c>
      <c r="K23" s="671" t="s">
        <v>402</v>
      </c>
      <c r="L23" s="449" t="s">
        <v>403</v>
      </c>
      <c r="M23" s="449" t="s">
        <v>425</v>
      </c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</row>
    <row r="24" spans="1:107" customFormat="1" ht="18" customHeight="1">
      <c r="A24" s="450"/>
      <c r="B24" s="519"/>
      <c r="C24" s="95"/>
      <c r="D24" s="96"/>
      <c r="E24" s="644"/>
      <c r="F24" s="647" t="s">
        <v>172</v>
      </c>
      <c r="G24" s="647" t="s">
        <v>173</v>
      </c>
      <c r="H24" s="646"/>
      <c r="I24" s="626"/>
      <c r="J24" s="663"/>
      <c r="K24" s="672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</row>
    <row r="25" spans="1:107" customFormat="1" ht="19" hidden="1" customHeight="1">
      <c r="A25" s="450"/>
      <c r="B25" s="520"/>
      <c r="C25" s="644" t="s">
        <v>50</v>
      </c>
      <c r="D25" s="622"/>
      <c r="E25" s="626"/>
      <c r="F25" s="587">
        <v>0</v>
      </c>
      <c r="G25" s="587">
        <v>0</v>
      </c>
      <c r="H25" s="617"/>
      <c r="I25" s="617"/>
      <c r="J25" s="668"/>
      <c r="K25" s="669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0"/>
      <c r="BB25" s="450"/>
      <c r="BC25" s="450"/>
      <c r="BD25" s="450"/>
      <c r="BE25" s="450"/>
      <c r="BF25" s="450"/>
      <c r="BG25" s="450"/>
      <c r="BH25" s="450"/>
      <c r="BI25" s="450"/>
      <c r="BJ25" s="450"/>
      <c r="BK25" s="450"/>
      <c r="BL25" s="450"/>
      <c r="BM25" s="450"/>
      <c r="BN25" s="450"/>
      <c r="BO25" s="450"/>
      <c r="BP25" s="450"/>
      <c r="BQ25" s="450"/>
      <c r="BR25" s="450"/>
      <c r="BS25" s="450"/>
      <c r="BT25" s="450"/>
      <c r="BU25" s="450"/>
      <c r="BV25" s="450"/>
      <c r="BW25" s="450"/>
      <c r="BX25" s="450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</row>
    <row r="26" spans="1:107" customFormat="1" ht="17" hidden="1" customHeight="1">
      <c r="A26" s="450"/>
      <c r="B26" s="521"/>
      <c r="C26" s="617"/>
      <c r="D26" s="617"/>
      <c r="E26" s="617"/>
      <c r="F26" s="617"/>
      <c r="G26" s="617"/>
      <c r="H26" s="617"/>
      <c r="I26" s="617"/>
      <c r="J26" s="668"/>
      <c r="K26" s="669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</row>
    <row r="27" spans="1:107" customFormat="1" hidden="1">
      <c r="A27" s="450"/>
      <c r="B27" s="518" t="s">
        <v>89</v>
      </c>
      <c r="C27" s="648" t="s">
        <v>52</v>
      </c>
      <c r="D27" s="441" t="s">
        <v>35</v>
      </c>
      <c r="E27" s="649" t="s">
        <v>53</v>
      </c>
      <c r="F27" s="622"/>
      <c r="G27" s="622"/>
      <c r="H27" s="622"/>
      <c r="I27" s="622"/>
      <c r="J27" s="668"/>
      <c r="K27" s="669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</row>
    <row r="28" spans="1:107" customFormat="1" ht="18" hidden="1" customHeight="1">
      <c r="A28" s="450"/>
      <c r="B28" s="522"/>
      <c r="C28" s="648" t="s">
        <v>54</v>
      </c>
      <c r="D28" s="440">
        <v>10</v>
      </c>
      <c r="E28" s="649"/>
      <c r="F28" s="622"/>
      <c r="G28" s="622"/>
      <c r="H28" s="622"/>
      <c r="I28" s="622"/>
      <c r="J28" s="668"/>
      <c r="K28" s="669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0"/>
      <c r="BF28" s="450"/>
      <c r="BG28" s="450"/>
      <c r="BH28" s="450"/>
      <c r="BI28" s="450"/>
      <c r="BJ28" s="450"/>
      <c r="BK28" s="450"/>
      <c r="BL28" s="450"/>
      <c r="BM28" s="450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  <c r="CR28" s="450"/>
      <c r="CS28" s="450"/>
      <c r="CT28" s="450"/>
      <c r="CU28" s="450"/>
      <c r="CV28" s="450"/>
      <c r="CW28" s="450"/>
      <c r="CX28" s="450"/>
      <c r="CY28" s="450"/>
      <c r="CZ28" s="450"/>
      <c r="DA28" s="450"/>
      <c r="DB28" s="450"/>
      <c r="DC28" s="450"/>
    </row>
    <row r="29" spans="1:107" customFormat="1" ht="17" hidden="1" customHeight="1">
      <c r="A29" s="450"/>
      <c r="B29" s="425"/>
      <c r="C29" s="648" t="s">
        <v>55</v>
      </c>
      <c r="D29" s="440">
        <v>10</v>
      </c>
      <c r="E29" s="649" t="s">
        <v>174</v>
      </c>
      <c r="F29" s="622"/>
      <c r="G29" s="622"/>
      <c r="H29" s="622"/>
      <c r="I29" s="622"/>
      <c r="J29" s="668"/>
      <c r="K29" s="669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</row>
    <row r="30" spans="1:107" customFormat="1" ht="16" hidden="1" customHeight="1">
      <c r="A30" s="450"/>
      <c r="B30" s="425"/>
      <c r="C30" s="622"/>
      <c r="D30" s="622"/>
      <c r="E30" s="622"/>
      <c r="F30" s="622"/>
      <c r="G30" s="622"/>
      <c r="H30" s="622"/>
      <c r="I30" s="622"/>
      <c r="J30" s="668"/>
      <c r="K30" s="669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</row>
    <row r="31" spans="1:107" customFormat="1" hidden="1">
      <c r="A31" s="450"/>
      <c r="B31" s="518" t="s">
        <v>175</v>
      </c>
      <c r="C31" s="622"/>
      <c r="D31" s="622"/>
      <c r="E31" s="622"/>
      <c r="F31" s="622"/>
      <c r="G31" s="622"/>
      <c r="H31" s="622"/>
      <c r="I31" s="622"/>
      <c r="J31" s="668"/>
      <c r="K31" s="669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  <c r="CY31" s="450"/>
      <c r="CZ31" s="450"/>
      <c r="DA31" s="450"/>
      <c r="DB31" s="450"/>
      <c r="DC31" s="450"/>
    </row>
    <row r="32" spans="1:107" customFormat="1" hidden="1">
      <c r="A32" s="450"/>
      <c r="B32" s="422" t="s">
        <v>58</v>
      </c>
      <c r="C32" s="648" t="s">
        <v>59</v>
      </c>
      <c r="D32" s="87">
        <v>0</v>
      </c>
      <c r="E32" s="650" t="s">
        <v>176</v>
      </c>
      <c r="F32" s="617"/>
      <c r="G32" s="316">
        <v>0</v>
      </c>
      <c r="H32" s="622"/>
      <c r="I32" s="622"/>
      <c r="J32" s="668"/>
      <c r="K32" s="669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  <c r="AY32" s="450"/>
      <c r="AZ32" s="450"/>
      <c r="BA32" s="450"/>
      <c r="BB32" s="450"/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  <c r="BN32" s="450"/>
      <c r="BO32" s="450"/>
      <c r="BP32" s="450"/>
      <c r="BQ32" s="450"/>
      <c r="BR32" s="450"/>
      <c r="BS32" s="450"/>
      <c r="BT32" s="450"/>
      <c r="BU32" s="450"/>
      <c r="BV32" s="450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  <c r="CR32" s="450"/>
      <c r="CS32" s="450"/>
      <c r="CT32" s="450"/>
      <c r="CU32" s="450"/>
      <c r="CV32" s="450"/>
      <c r="CW32" s="450"/>
      <c r="CX32" s="450"/>
      <c r="CY32" s="450"/>
      <c r="CZ32" s="450"/>
      <c r="DA32" s="450"/>
      <c r="DB32" s="450"/>
      <c r="DC32" s="450"/>
    </row>
    <row r="33" spans="1:107" customFormat="1" hidden="1">
      <c r="A33" s="450"/>
      <c r="B33" s="422" t="s">
        <v>61</v>
      </c>
      <c r="C33" s="648" t="s">
        <v>62</v>
      </c>
      <c r="D33" s="651">
        <f>Nonpersonnel!B49</f>
        <v>0</v>
      </c>
      <c r="E33" s="649" t="s">
        <v>177</v>
      </c>
      <c r="F33" s="622"/>
      <c r="G33" s="315">
        <v>0</v>
      </c>
      <c r="H33" s="622"/>
      <c r="I33" s="622"/>
      <c r="J33" s="668"/>
      <c r="K33" s="669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450"/>
      <c r="DC33" s="450"/>
    </row>
    <row r="34" spans="1:107" customFormat="1" hidden="1">
      <c r="A34" s="450"/>
      <c r="B34" s="422"/>
      <c r="C34" s="648"/>
      <c r="D34" s="651"/>
      <c r="E34" s="649"/>
      <c r="F34" s="622"/>
      <c r="G34" s="652"/>
      <c r="H34" s="622"/>
      <c r="I34" s="622"/>
      <c r="J34" s="668"/>
      <c r="K34" s="669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450"/>
      <c r="BR34" s="450"/>
      <c r="BS34" s="450"/>
      <c r="BT34" s="450"/>
      <c r="BU34" s="450"/>
      <c r="BV34" s="450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</row>
    <row r="35" spans="1:107" customFormat="1" hidden="1">
      <c r="A35" s="450"/>
      <c r="B35" s="422"/>
      <c r="C35" s="648"/>
      <c r="D35" s="651"/>
      <c r="E35" s="649"/>
      <c r="F35" s="622"/>
      <c r="G35" s="652"/>
      <c r="H35" s="622"/>
      <c r="I35" s="622"/>
      <c r="J35" s="668"/>
      <c r="K35" s="669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0"/>
      <c r="BA35" s="450"/>
      <c r="BB35" s="450"/>
      <c r="BC35" s="450"/>
      <c r="BD35" s="450"/>
      <c r="BE35" s="450"/>
      <c r="BF35" s="450"/>
      <c r="BG35" s="450"/>
      <c r="BH35" s="450"/>
      <c r="BI35" s="450"/>
      <c r="BJ35" s="450"/>
      <c r="BK35" s="450"/>
      <c r="BL35" s="450"/>
      <c r="BM35" s="450"/>
      <c r="BN35" s="450"/>
      <c r="BO35" s="450"/>
      <c r="BP35" s="450"/>
      <c r="BQ35" s="450"/>
      <c r="BR35" s="450"/>
      <c r="BS35" s="450"/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0"/>
      <c r="CE35" s="450"/>
      <c r="CF35" s="450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  <c r="DA35" s="450"/>
      <c r="DB35" s="450"/>
      <c r="DC35" s="450"/>
    </row>
    <row r="36" spans="1:107" customFormat="1">
      <c r="A36" s="450"/>
      <c r="B36" s="518" t="s">
        <v>483</v>
      </c>
      <c r="C36" s="622"/>
      <c r="D36" s="622"/>
      <c r="E36" s="649"/>
      <c r="F36" s="622"/>
      <c r="G36" s="622"/>
      <c r="H36" s="622"/>
      <c r="I36" s="622"/>
      <c r="J36" s="668"/>
      <c r="K36" s="669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0"/>
      <c r="BQ36" s="450"/>
      <c r="BR36" s="450"/>
      <c r="BS36" s="450"/>
      <c r="BT36" s="450"/>
      <c r="BU36" s="450"/>
      <c r="BV36" s="450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</row>
    <row r="37" spans="1:107" customFormat="1">
      <c r="A37" s="450"/>
      <c r="B37" s="523" t="s">
        <v>484</v>
      </c>
      <c r="C37" s="622"/>
      <c r="D37" s="653"/>
      <c r="E37" s="653"/>
      <c r="F37" s="622"/>
      <c r="G37" s="622"/>
      <c r="H37" s="622"/>
      <c r="I37" s="656"/>
      <c r="J37" s="668"/>
      <c r="K37" s="669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</row>
    <row r="38" spans="1:107" customFormat="1" ht="28">
      <c r="A38" s="450"/>
      <c r="B38" s="524"/>
      <c r="C38" s="654" t="s">
        <v>485</v>
      </c>
      <c r="D38" s="654" t="s">
        <v>486</v>
      </c>
      <c r="E38" s="622"/>
      <c r="F38" s="622"/>
      <c r="G38" s="622"/>
      <c r="H38" s="622"/>
      <c r="I38" s="656"/>
      <c r="J38" s="668"/>
      <c r="K38" s="669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</row>
    <row r="39" spans="1:107" customFormat="1" ht="14">
      <c r="A39" s="450"/>
      <c r="B39" s="525" t="str">
        <f>D7</f>
        <v>Infantes</v>
      </c>
      <c r="C39" s="443">
        <v>1</v>
      </c>
      <c r="D39" s="241">
        <f>C7-C39</f>
        <v>1</v>
      </c>
      <c r="E39" s="622"/>
      <c r="F39" s="622"/>
      <c r="G39" s="622"/>
      <c r="H39" s="622"/>
      <c r="I39" s="656"/>
      <c r="J39" s="668"/>
      <c r="K39" s="669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</row>
    <row r="40" spans="1:107" customFormat="1" ht="14">
      <c r="A40" s="450"/>
      <c r="B40" s="525" t="str">
        <f t="shared" ref="B40:B43" si="0">D8</f>
        <v>niños de dos años</v>
      </c>
      <c r="C40" s="443">
        <v>1</v>
      </c>
      <c r="D40" s="241">
        <f t="shared" ref="D40:D44" si="1">C8-C40</f>
        <v>0</v>
      </c>
      <c r="E40" s="622"/>
      <c r="F40" s="622"/>
      <c r="G40" s="622"/>
      <c r="H40" s="622"/>
      <c r="I40" s="656"/>
      <c r="J40" s="668"/>
      <c r="K40" s="669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  <c r="CY40" s="450"/>
      <c r="CZ40" s="450"/>
      <c r="DA40" s="450"/>
    </row>
    <row r="41" spans="1:107" customFormat="1" ht="14">
      <c r="A41" s="450"/>
      <c r="B41" s="525" t="str">
        <f t="shared" si="0"/>
        <v>niños de tres años</v>
      </c>
      <c r="C41" s="443">
        <v>1</v>
      </c>
      <c r="D41" s="241">
        <f t="shared" si="1"/>
        <v>0</v>
      </c>
      <c r="E41" s="622"/>
      <c r="F41" s="622"/>
      <c r="G41" s="622"/>
      <c r="H41" s="622"/>
      <c r="I41" s="656"/>
      <c r="J41" s="668"/>
      <c r="K41" s="669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</row>
    <row r="42" spans="1:107" customFormat="1" ht="14">
      <c r="A42" s="450"/>
      <c r="B42" s="525" t="str">
        <f t="shared" si="0"/>
        <v>niños de cuatro años</v>
      </c>
      <c r="C42" s="443">
        <v>0</v>
      </c>
      <c r="D42" s="241">
        <f t="shared" si="1"/>
        <v>1</v>
      </c>
      <c r="E42" s="622"/>
      <c r="F42" s="622"/>
      <c r="G42" s="622"/>
      <c r="H42" s="622"/>
      <c r="I42" s="656"/>
      <c r="J42" s="668"/>
      <c r="K42" s="669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0"/>
      <c r="CT42" s="450"/>
      <c r="CU42" s="450"/>
      <c r="CV42" s="450"/>
      <c r="CW42" s="450"/>
      <c r="CX42" s="450"/>
      <c r="CY42" s="450"/>
      <c r="CZ42" s="450"/>
      <c r="DA42" s="450"/>
    </row>
    <row r="43" spans="1:107" customFormat="1" ht="14">
      <c r="A43" s="450"/>
      <c r="B43" s="525" t="str">
        <f t="shared" si="0"/>
        <v>edad escolar</v>
      </c>
      <c r="C43" s="443">
        <v>1</v>
      </c>
      <c r="D43" s="241">
        <f t="shared" si="1"/>
        <v>0</v>
      </c>
      <c r="E43" s="622"/>
      <c r="F43" s="622"/>
      <c r="G43" s="622"/>
      <c r="H43" s="622"/>
      <c r="I43" s="656"/>
      <c r="J43" s="668"/>
      <c r="K43" s="669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0"/>
      <c r="AZ43" s="450"/>
      <c r="BA43" s="450"/>
      <c r="BB43" s="450"/>
      <c r="BC43" s="450"/>
      <c r="BD43" s="450"/>
      <c r="BE43" s="450"/>
      <c r="BF43" s="450"/>
      <c r="BG43" s="450"/>
      <c r="BH43" s="450"/>
      <c r="BI43" s="450"/>
      <c r="BJ43" s="450"/>
      <c r="BK43" s="450"/>
      <c r="BL43" s="450"/>
      <c r="BM43" s="450"/>
      <c r="BN43" s="450"/>
      <c r="BO43" s="450"/>
      <c r="BP43" s="450"/>
      <c r="BQ43" s="450"/>
      <c r="BR43" s="450"/>
      <c r="BS43" s="450"/>
      <c r="BT43" s="450"/>
      <c r="BU43" s="450"/>
      <c r="BV43" s="450"/>
      <c r="BW43" s="450"/>
      <c r="BX43" s="450"/>
      <c r="BY43" s="450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450"/>
      <c r="CS43" s="450"/>
      <c r="CT43" s="450"/>
      <c r="CU43" s="450"/>
      <c r="CV43" s="450"/>
      <c r="CW43" s="450"/>
      <c r="CX43" s="450"/>
      <c r="CY43" s="450"/>
      <c r="CZ43" s="450"/>
      <c r="DA43" s="450"/>
    </row>
    <row r="44" spans="1:107" customFormat="1">
      <c r="A44" s="450"/>
      <c r="B44" s="526" t="s">
        <v>69</v>
      </c>
      <c r="C44" s="242">
        <f>SUM(C39:C43)</f>
        <v>4</v>
      </c>
      <c r="D44" s="241">
        <f t="shared" si="1"/>
        <v>2</v>
      </c>
      <c r="E44" s="622"/>
      <c r="F44" s="622"/>
      <c r="G44" s="622"/>
      <c r="H44" s="622"/>
      <c r="I44" s="656"/>
      <c r="J44" s="668"/>
      <c r="K44" s="669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  <c r="AY44" s="450"/>
      <c r="AZ44" s="450"/>
      <c r="BA44" s="450"/>
      <c r="BB44" s="450"/>
      <c r="BC44" s="450"/>
      <c r="BD44" s="450"/>
      <c r="BE44" s="450"/>
      <c r="BF44" s="450"/>
      <c r="BG44" s="450"/>
      <c r="BH44" s="450"/>
      <c r="BI44" s="450"/>
      <c r="BJ44" s="450"/>
      <c r="BK44" s="450"/>
      <c r="BL44" s="450"/>
      <c r="BM44" s="450"/>
      <c r="BN44" s="450"/>
      <c r="BO44" s="450"/>
      <c r="BP44" s="450"/>
      <c r="BQ44" s="450"/>
      <c r="BR44" s="450"/>
      <c r="BS44" s="450"/>
      <c r="BT44" s="450"/>
      <c r="BU44" s="450"/>
      <c r="BV44" s="450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0"/>
      <c r="CH44" s="450"/>
      <c r="CI44" s="450"/>
      <c r="CJ44" s="450"/>
      <c r="CK44" s="450"/>
      <c r="CL44" s="450"/>
      <c r="CM44" s="450"/>
      <c r="CN44" s="450"/>
      <c r="CO44" s="450"/>
      <c r="CP44" s="450"/>
      <c r="CQ44" s="450"/>
      <c r="CR44" s="450"/>
      <c r="CS44" s="450"/>
      <c r="CT44" s="450"/>
      <c r="CU44" s="450"/>
      <c r="CV44" s="450"/>
      <c r="CW44" s="450"/>
      <c r="CX44" s="450"/>
      <c r="CY44" s="450"/>
      <c r="CZ44" s="450"/>
      <c r="DA44" s="450"/>
    </row>
    <row r="45" spans="1:107" customFormat="1" ht="16">
      <c r="A45" s="529"/>
      <c r="B45" s="508"/>
      <c r="C45" s="655" t="s">
        <v>487</v>
      </c>
      <c r="D45" s="243">
        <f>SUM(C39:C43)</f>
        <v>4</v>
      </c>
      <c r="E45" s="622"/>
      <c r="F45" s="622"/>
      <c r="G45" s="622"/>
      <c r="H45" s="622"/>
      <c r="I45" s="656"/>
      <c r="J45" s="668"/>
      <c r="K45" s="669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  <c r="CE45" s="450"/>
      <c r="CF45" s="450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  <c r="CR45" s="450"/>
      <c r="CS45" s="450"/>
      <c r="CT45" s="450"/>
      <c r="CU45" s="450"/>
      <c r="CV45" s="450"/>
      <c r="CW45" s="450"/>
      <c r="CX45" s="450"/>
      <c r="CY45" s="450"/>
      <c r="CZ45" s="450"/>
      <c r="DA45" s="450"/>
    </row>
    <row r="46" spans="1:107" customFormat="1">
      <c r="A46" s="529"/>
      <c r="B46" s="508"/>
      <c r="C46" s="655" t="s">
        <v>488</v>
      </c>
      <c r="D46" s="244">
        <f>D45/C12</f>
        <v>0.66666666666666663</v>
      </c>
      <c r="E46" s="622"/>
      <c r="F46" s="622"/>
      <c r="G46" s="622"/>
      <c r="H46" s="622"/>
      <c r="I46" s="656"/>
      <c r="J46" s="668"/>
      <c r="K46" s="669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</row>
    <row r="47" spans="1:107" s="509" customFormat="1" ht="14" thickBot="1">
      <c r="B47" s="508"/>
      <c r="C47" s="617"/>
      <c r="D47" s="617"/>
      <c r="E47" s="617"/>
      <c r="F47" s="617"/>
      <c r="G47" s="617"/>
      <c r="H47" s="617"/>
      <c r="I47" s="617"/>
      <c r="J47" s="661"/>
      <c r="K47" s="662"/>
    </row>
    <row r="48" spans="1:107" s="509" customFormat="1" ht="14" thickBot="1">
      <c r="B48" s="678"/>
      <c r="C48" s="676"/>
      <c r="D48" s="676"/>
      <c r="E48" s="676"/>
      <c r="F48" s="676"/>
      <c r="G48" s="676"/>
      <c r="H48" s="676"/>
      <c r="I48" s="676"/>
      <c r="J48" s="661"/>
      <c r="K48" s="662"/>
    </row>
    <row r="49" spans="2:11" s="509" customFormat="1" ht="14" thickBot="1">
      <c r="B49" s="536" t="s">
        <v>489</v>
      </c>
      <c r="C49" s="565"/>
      <c r="D49" s="662"/>
      <c r="E49" s="662"/>
      <c r="F49" s="577" t="s">
        <v>508</v>
      </c>
      <c r="G49" s="578" t="s">
        <v>509</v>
      </c>
      <c r="H49" s="578" t="s">
        <v>510</v>
      </c>
      <c r="I49" s="578" t="s">
        <v>511</v>
      </c>
      <c r="J49" s="661"/>
      <c r="K49" s="662"/>
    </row>
    <row r="50" spans="2:11" s="509" customFormat="1">
      <c r="B50" s="534" t="s">
        <v>490</v>
      </c>
      <c r="C50" s="576">
        <f>QualityHomeProfile!A20</f>
        <v>1</v>
      </c>
      <c r="D50" s="662"/>
      <c r="E50" s="662"/>
      <c r="F50" s="354" t="str">
        <f>D7</f>
        <v>Infantes</v>
      </c>
      <c r="G50" s="618">
        <f>QualityHomeProfile!C6</f>
        <v>14404.804049635753</v>
      </c>
      <c r="H50" s="618">
        <f>G50/12</f>
        <v>1200.400337469646</v>
      </c>
      <c r="I50" s="618">
        <f>G50/52</f>
        <v>277.01546249299525</v>
      </c>
      <c r="J50" s="661"/>
      <c r="K50" s="662"/>
    </row>
    <row r="51" spans="2:11" s="509" customFormat="1">
      <c r="B51" s="534"/>
      <c r="C51" s="566"/>
      <c r="D51" s="662"/>
      <c r="E51" s="662"/>
      <c r="F51" s="354" t="str">
        <f>D8</f>
        <v>niños de dos años</v>
      </c>
      <c r="G51" s="618">
        <f>QualityHomeProfile!C7</f>
        <v>14404.804049635753</v>
      </c>
      <c r="H51" s="618">
        <f>G51/12</f>
        <v>1200.400337469646</v>
      </c>
      <c r="I51" s="618">
        <f>G51/52</f>
        <v>277.01546249299525</v>
      </c>
      <c r="J51" s="661"/>
      <c r="K51" s="662"/>
    </row>
    <row r="52" spans="2:11" s="509" customFormat="1">
      <c r="B52" s="538" t="s">
        <v>491</v>
      </c>
      <c r="C52" s="616"/>
      <c r="D52" s="662"/>
      <c r="E52" s="662"/>
      <c r="F52" s="354" t="str">
        <f>D9</f>
        <v>niños de tres años</v>
      </c>
      <c r="G52" s="618">
        <f>QualityHomeProfile!C8</f>
        <v>14404.804049635753</v>
      </c>
      <c r="H52" s="618">
        <f>G52/12</f>
        <v>1200.400337469646</v>
      </c>
      <c r="I52" s="618">
        <f>G52/52</f>
        <v>277.01546249299525</v>
      </c>
      <c r="J52" s="661"/>
      <c r="K52" s="662"/>
    </row>
    <row r="53" spans="2:11" s="509" customFormat="1">
      <c r="B53" s="545" t="s">
        <v>481</v>
      </c>
      <c r="C53" s="567">
        <f>QualityHomeProfile!D20</f>
        <v>43320.24</v>
      </c>
      <c r="D53" s="662"/>
      <c r="E53" s="662"/>
      <c r="F53" s="354" t="str">
        <f>D10</f>
        <v>niños de cuatro años</v>
      </c>
      <c r="G53" s="618">
        <f>QualityHomeProfile!C9</f>
        <v>14404.804049635753</v>
      </c>
      <c r="H53" s="618">
        <f>G53/12</f>
        <v>1200.400337469646</v>
      </c>
      <c r="I53" s="618">
        <f>G53/52</f>
        <v>277.01546249299525</v>
      </c>
      <c r="J53" s="661"/>
      <c r="K53" s="662"/>
    </row>
    <row r="54" spans="2:11" s="509" customFormat="1" ht="14" thickBot="1">
      <c r="B54" s="545" t="s">
        <v>492</v>
      </c>
      <c r="C54" s="567">
        <f>SUM(QualityHomeProfile!D27,QualityHomeProfile!D33)</f>
        <v>13278.31205230769</v>
      </c>
      <c r="D54" s="662"/>
      <c r="E54" s="662"/>
      <c r="F54" s="355" t="str">
        <f>D11</f>
        <v>edad escolar</v>
      </c>
      <c r="G54" s="352">
        <f>QualityHomeProfile!C10</f>
        <v>8002.6689164643076</v>
      </c>
      <c r="H54" s="356">
        <f>G54/12</f>
        <v>666.88907637202567</v>
      </c>
      <c r="I54" s="356">
        <f>G54/52</f>
        <v>153.89747916277514</v>
      </c>
      <c r="J54" s="661"/>
      <c r="K54" s="662"/>
    </row>
    <row r="55" spans="2:11" s="509" customFormat="1" ht="14" thickBot="1">
      <c r="B55" s="544" t="s">
        <v>490</v>
      </c>
      <c r="C55" s="568">
        <f>SUM(C53:C54)</f>
        <v>56598.552052307685</v>
      </c>
      <c r="D55" s="662"/>
      <c r="E55" s="662"/>
      <c r="F55" s="662"/>
      <c r="G55" s="662"/>
      <c r="H55" s="662"/>
      <c r="I55" s="662"/>
      <c r="J55" s="661"/>
      <c r="K55" s="662"/>
    </row>
    <row r="56" spans="2:11" s="509" customFormat="1" ht="29" thickBot="1">
      <c r="B56" s="545"/>
      <c r="C56" s="569"/>
      <c r="D56" s="662"/>
      <c r="E56" s="662"/>
      <c r="F56" s="608" t="s">
        <v>512</v>
      </c>
      <c r="G56" s="446" t="s">
        <v>513</v>
      </c>
      <c r="H56" s="446" t="s">
        <v>514</v>
      </c>
      <c r="I56" s="657" t="s">
        <v>515</v>
      </c>
      <c r="J56" s="661"/>
      <c r="K56" s="662"/>
    </row>
    <row r="57" spans="2:11" s="509" customFormat="1">
      <c r="B57" s="545" t="s">
        <v>493</v>
      </c>
      <c r="C57" s="569">
        <f>QualityHomeProfile!D39</f>
        <v>3861.5735199999999</v>
      </c>
      <c r="D57" s="662"/>
      <c r="E57" s="662"/>
      <c r="F57" s="90" t="str">
        <f>D7</f>
        <v>Infantes</v>
      </c>
      <c r="G57" s="350">
        <f>H57*12</f>
        <v>10500</v>
      </c>
      <c r="H57" s="350">
        <f>IF(AND(E$12="Casa de grupo",F$2=G$2),'Subsidy rates'!B20,
IF(AND(E$12="Casa de grupo",F$2=H$2),'Subsidy rates'!C20,
IF(AND(E$12="Casa de grupo",F$2=I$2),'Subsidy rates'!D20,
IF(AND(E$12="Casa de grupo",F$2=J$2),'Subsidy rates'!E20,
IF(F$2=G$2,'Subsidy rates'!B11,
IF(F$2=H$2,'Subsidy rates'!C11,
IF(F$2=I$2,'Subsidy rates'!D11,
IF(F$2=J$2,'Subsidy rates'!E11,0))))))))</f>
        <v>875</v>
      </c>
      <c r="I57" s="658">
        <f>G57/52</f>
        <v>201.92307692307693</v>
      </c>
      <c r="J57" s="661"/>
      <c r="K57" s="662"/>
    </row>
    <row r="58" spans="2:11" s="509" customFormat="1">
      <c r="B58" s="545" t="s">
        <v>494</v>
      </c>
      <c r="C58" s="569">
        <f>QualityHomeProfile!D40</f>
        <v>7192.9223463999997</v>
      </c>
      <c r="D58" s="662"/>
      <c r="E58" s="662"/>
      <c r="F58" s="90" t="str">
        <f>D8</f>
        <v>niños de dos años</v>
      </c>
      <c r="G58" s="609">
        <f t="shared" ref="G58:G60" si="2">H58*12</f>
        <v>10200</v>
      </c>
      <c r="H58" s="609">
        <f>IF(AND(E$12="Casa de grupo",F$2=G$2),'Subsidy rates'!B21,
IF(AND(E$12="Casa de grupo",F$2=H$2),'Subsidy rates'!C21,
IF(AND(E$12="Casa de grupo",F$2=I$2),'Subsidy rates'!D21,
IF(AND(E$12="Casa de grupo",F$2=J$2),'Subsidy rates'!E21,
IF(F$2=G$2,'Subsidy rates'!B12,
IF(F$2=H$2,'Subsidy rates'!C12,
IF(F$2=I$2,'Subsidy rates'!D12,
IF(F$2=J$2,'Subsidy rates'!E12,0))))))))</f>
        <v>850</v>
      </c>
      <c r="I58" s="659">
        <f t="shared" ref="I58:I60" si="3">G58/52</f>
        <v>196.15384615384616</v>
      </c>
      <c r="J58" s="661"/>
      <c r="K58" s="662"/>
    </row>
    <row r="59" spans="2:11" s="509" customFormat="1">
      <c r="B59" s="545" t="s">
        <v>495</v>
      </c>
      <c r="C59" s="569">
        <f>QualityHomeProfile!D42</f>
        <v>5900.9250000000002</v>
      </c>
      <c r="D59" s="662"/>
      <c r="E59" s="662"/>
      <c r="F59" s="90" t="str">
        <f>D9</f>
        <v>niños de tres años</v>
      </c>
      <c r="G59" s="609">
        <f t="shared" si="2"/>
        <v>8400</v>
      </c>
      <c r="H59" s="609">
        <f>IF(AND(E$12="Casa de grupo",F$2=G$2),'Subsidy rates'!B22,
IF(AND(E$12="Casa de grupo",F$2=H$2),'Subsidy rates'!C22,
IF(AND(E$12="Casa de grupo",F$2=I$2),'Subsidy rates'!D22,
IF(AND(E$12="Casa de grupo",F$2=J$2),'Subsidy rates'!E22,
IF(F$2=G$2,'Subsidy rates'!B13,
IF(F$2=H$2,'Subsidy rates'!C13,
IF(F$2=I$2,'Subsidy rates'!D13,
IF(F$2=J$2,'Subsidy rates'!E13,0))))))))</f>
        <v>700</v>
      </c>
      <c r="I59" s="659">
        <f t="shared" si="3"/>
        <v>161.53846153846155</v>
      </c>
      <c r="J59" s="661"/>
      <c r="K59" s="662"/>
    </row>
    <row r="60" spans="2:11" s="509" customFormat="1">
      <c r="B60" s="545" t="s">
        <v>496</v>
      </c>
      <c r="C60" s="569">
        <f>QualityHomeProfile!D44</f>
        <v>3677.6986459353848</v>
      </c>
      <c r="D60" s="662"/>
      <c r="E60" s="662"/>
      <c r="F60" s="90" t="str">
        <f>D10</f>
        <v>niños de cuatro años</v>
      </c>
      <c r="G60" s="609">
        <f t="shared" si="2"/>
        <v>8400</v>
      </c>
      <c r="H60" s="609">
        <f>IF(AND(E$12="Casa de grupo",F$2=G$2),'Subsidy rates'!B23,
IF(AND(E$12="Casa de grupo",F$2=H$2),'Subsidy rates'!C23,
IF(AND(E$12="Casa de grupo",F$2=I$2),'Subsidy rates'!D23,
IF(AND(E$12="Casa de grupo",F$2=J$2),'Subsidy rates'!E23,
IF(F$2=G$2,'Subsidy rates'!B14,
IF(F$2=H$2,'Subsidy rates'!C14,
IF(F$2=I$2,'Subsidy rates'!D14,
IF(F$2=J$2,'Subsidy rates'!E14,0))))))))</f>
        <v>700</v>
      </c>
      <c r="I60" s="659">
        <f t="shared" si="3"/>
        <v>161.53846153846155</v>
      </c>
      <c r="J60" s="661"/>
      <c r="K60" s="662"/>
    </row>
    <row r="61" spans="2:11" s="509" customFormat="1" ht="14" thickBot="1">
      <c r="B61" s="545" t="s">
        <v>497</v>
      </c>
      <c r="C61" s="569">
        <f>QualityHomeProfile!D48</f>
        <v>2795.0176000000001</v>
      </c>
      <c r="D61" s="662"/>
      <c r="E61" s="662"/>
      <c r="F61" s="91" t="str">
        <f>D11</f>
        <v>edad escolar</v>
      </c>
      <c r="G61" s="92">
        <f>H61*12</f>
        <v>4944</v>
      </c>
      <c r="H61" s="92">
        <f>IF(AND(E$12="Casa de grupo",F$2=G$2),'Subsidy rates'!B24,
IF(AND(E$12="Casa de grupo",F$2=H$2),'Subsidy rates'!C24,
IF(AND(E$12="Casa de grupo",F$2=I$2),'Subsidy rates'!D24,
IF(AND(E$12="Casa de grupo",F$2=J$2),'Subsidy rates'!E24,
IF(F$2=G$2,'Subsidy rates'!B15,
IF(F$2=H$2,'Subsidy rates'!C15,
IF(F$2=I$2,'Subsidy rates'!D15,
IF(F$2=J$2,'Subsidy rates'!E15,0))))))))</f>
        <v>412</v>
      </c>
      <c r="I61" s="660">
        <f>G61/52</f>
        <v>95.07692307692308</v>
      </c>
      <c r="J61" s="661"/>
      <c r="K61" s="662"/>
    </row>
    <row r="62" spans="2:11" s="509" customFormat="1" ht="14" thickBot="1">
      <c r="B62" s="544" t="s">
        <v>498</v>
      </c>
      <c r="C62" s="568">
        <f>SUM(C56:C61)</f>
        <v>23428.137112335382</v>
      </c>
      <c r="D62" s="662"/>
      <c r="E62" s="662"/>
      <c r="F62" s="679"/>
      <c r="G62" s="679"/>
      <c r="H62" s="680"/>
      <c r="I62" s="669"/>
      <c r="J62" s="661"/>
      <c r="K62" s="662"/>
    </row>
    <row r="63" spans="2:11" s="509" customFormat="1" ht="14" thickBot="1">
      <c r="B63" s="544"/>
      <c r="C63" s="568"/>
      <c r="D63" s="662"/>
      <c r="E63" s="662"/>
      <c r="F63" s="447" t="s">
        <v>516</v>
      </c>
      <c r="G63" s="448" t="str">
        <f>G56</f>
        <v>Anual, por niño</v>
      </c>
      <c r="H63" s="448" t="str">
        <f>H56</f>
        <v>Mensual, por niño</v>
      </c>
      <c r="I63" s="448" t="str">
        <f>I56</f>
        <v>Semanal, por niño</v>
      </c>
      <c r="J63" s="661"/>
      <c r="K63" s="662"/>
    </row>
    <row r="64" spans="2:11" s="509" customFormat="1">
      <c r="B64" s="538" t="s">
        <v>499</v>
      </c>
      <c r="C64" s="570">
        <f>SUM(C55,C62)</f>
        <v>80026.689164643059</v>
      </c>
      <c r="D64" s="662"/>
      <c r="E64" s="662"/>
      <c r="F64" s="197" t="str">
        <f>F57</f>
        <v>Infantes</v>
      </c>
      <c r="G64" s="198">
        <f>G57-G50</f>
        <v>-3904.8040496357535</v>
      </c>
      <c r="H64" s="198">
        <f>H57-H50</f>
        <v>-325.40033746964605</v>
      </c>
      <c r="I64" s="198">
        <f>I57-I50</f>
        <v>-75.092385569918321</v>
      </c>
      <c r="J64" s="661"/>
      <c r="K64" s="662"/>
    </row>
    <row r="65" spans="1:107" s="509" customFormat="1">
      <c r="B65" s="534"/>
      <c r="C65" s="566"/>
      <c r="D65" s="662"/>
      <c r="E65" s="662"/>
      <c r="F65" s="199" t="str">
        <f t="shared" ref="F65:F68" si="4">F58</f>
        <v>niños de dos años</v>
      </c>
      <c r="G65" s="619">
        <f>G58-G51</f>
        <v>-4204.8040496357535</v>
      </c>
      <c r="H65" s="619">
        <f>H58-H51</f>
        <v>-350.40033746964605</v>
      </c>
      <c r="I65" s="619">
        <f>I58-I51</f>
        <v>-80.861616339149094</v>
      </c>
      <c r="J65" s="661"/>
      <c r="K65" s="662"/>
    </row>
    <row r="66" spans="1:107" s="509" customFormat="1">
      <c r="B66" s="538" t="s">
        <v>500</v>
      </c>
      <c r="C66" s="616"/>
      <c r="D66" s="662"/>
      <c r="E66" s="662"/>
      <c r="F66" s="199" t="str">
        <f t="shared" si="4"/>
        <v>niños de tres años</v>
      </c>
      <c r="G66" s="619">
        <f>G59-G52</f>
        <v>-6004.8040496357535</v>
      </c>
      <c r="H66" s="619">
        <f>H59-H52</f>
        <v>-500.40033746964605</v>
      </c>
      <c r="I66" s="619">
        <f>I59-I52</f>
        <v>-115.47700095453371</v>
      </c>
      <c r="J66" s="661"/>
      <c r="K66" s="662"/>
    </row>
    <row r="67" spans="1:107" s="509" customFormat="1">
      <c r="B67" s="534" t="s">
        <v>440</v>
      </c>
      <c r="C67" s="567">
        <f>QualityHomeProfile!D54</f>
        <v>7124</v>
      </c>
      <c r="D67" s="662"/>
      <c r="E67" s="662"/>
      <c r="F67" s="199" t="str">
        <f t="shared" si="4"/>
        <v>niños de cuatro años</v>
      </c>
      <c r="G67" s="619">
        <f>G60-G53</f>
        <v>-6004.8040496357535</v>
      </c>
      <c r="H67" s="619">
        <f>H60-H53</f>
        <v>-500.40033746964605</v>
      </c>
      <c r="I67" s="619">
        <f>I60-I53</f>
        <v>-115.47700095453371</v>
      </c>
      <c r="J67" s="661"/>
      <c r="K67" s="662"/>
    </row>
    <row r="68" spans="1:107" s="509" customFormat="1" ht="14" thickBot="1">
      <c r="B68" s="534" t="s">
        <v>501</v>
      </c>
      <c r="C68" s="567">
        <f>QualityHomeProfile!D55</f>
        <v>17313.72</v>
      </c>
      <c r="D68" s="662"/>
      <c r="E68" s="662"/>
      <c r="F68" s="200" t="str">
        <f t="shared" si="4"/>
        <v>edad escolar</v>
      </c>
      <c r="G68" s="201">
        <f>G61-G54</f>
        <v>-3058.6689164643076</v>
      </c>
      <c r="H68" s="201">
        <f>H61-H54</f>
        <v>-254.88907637202567</v>
      </c>
      <c r="I68" s="201">
        <f>I61-I54</f>
        <v>-58.820556085852061</v>
      </c>
      <c r="J68" s="661"/>
      <c r="K68" s="662"/>
    </row>
    <row r="69" spans="1:107" s="509" customFormat="1" ht="14" thickBot="1">
      <c r="B69" s="534" t="s">
        <v>502</v>
      </c>
      <c r="C69" s="567">
        <f>QualityHomeProfile!D56</f>
        <v>10500</v>
      </c>
      <c r="D69" s="662"/>
      <c r="E69" s="662"/>
      <c r="F69" s="662"/>
      <c r="G69" s="662"/>
      <c r="H69" s="662"/>
      <c r="I69" s="662"/>
      <c r="J69" s="661"/>
      <c r="K69" s="662"/>
    </row>
    <row r="70" spans="1:107" s="509" customFormat="1" ht="19" customHeight="1" thickBot="1">
      <c r="B70" s="681" t="s">
        <v>503</v>
      </c>
      <c r="C70" s="567">
        <f>QualityHomeProfile!D57</f>
        <v>0</v>
      </c>
      <c r="D70" s="662"/>
      <c r="E70" s="662"/>
      <c r="F70" s="610" t="s">
        <v>517</v>
      </c>
      <c r="G70" s="611" t="s">
        <v>518</v>
      </c>
      <c r="H70" s="611" t="s">
        <v>519</v>
      </c>
      <c r="I70" s="611" t="s">
        <v>520</v>
      </c>
      <c r="J70" s="661"/>
      <c r="K70" s="662"/>
    </row>
    <row r="71" spans="1:107" ht="28">
      <c r="B71" s="571" t="s">
        <v>505</v>
      </c>
      <c r="C71" s="682">
        <f>QualityHomeProfile!F62</f>
        <v>-6288.789600000001</v>
      </c>
      <c r="D71" s="662"/>
      <c r="E71" s="677">
        <v>1.1000000000000001</v>
      </c>
      <c r="F71" s="612" t="str">
        <f>F50</f>
        <v>Infantes</v>
      </c>
      <c r="G71" s="621">
        <f>QualityHomeProfile!C6*E71</f>
        <v>15845.28445459933</v>
      </c>
      <c r="H71" s="621">
        <f>G71/12</f>
        <v>1320.4403712166109</v>
      </c>
      <c r="I71" s="621">
        <f>G71/52</f>
        <v>304.71700874229481</v>
      </c>
      <c r="DB71" s="115"/>
      <c r="DC71" s="115"/>
    </row>
    <row r="72" spans="1:107" ht="31" customHeight="1">
      <c r="B72" s="538" t="s">
        <v>504</v>
      </c>
      <c r="C72" s="575">
        <f>QualityHomeProfile!D65</f>
        <v>28648.930399999997</v>
      </c>
      <c r="D72" s="662"/>
      <c r="E72" s="677">
        <v>1.04</v>
      </c>
      <c r="F72" s="612" t="str">
        <f>F51</f>
        <v>niños de dos años</v>
      </c>
      <c r="G72" s="621">
        <f>QualityHomeProfile!C7*E72</f>
        <v>14980.996211621185</v>
      </c>
      <c r="H72" s="621">
        <f>G72/12</f>
        <v>1248.416350968432</v>
      </c>
      <c r="I72" s="621">
        <f>G72/52</f>
        <v>288.09608099271509</v>
      </c>
      <c r="J72" s="673"/>
      <c r="DB72" s="115"/>
      <c r="DC72" s="115"/>
    </row>
    <row r="73" spans="1:107" ht="20" customHeight="1">
      <c r="B73" s="572"/>
      <c r="C73" s="573"/>
      <c r="D73" s="662"/>
      <c r="E73" s="677">
        <v>0.93</v>
      </c>
      <c r="F73" s="612" t="str">
        <f>F52</f>
        <v>niños de tres años</v>
      </c>
      <c r="G73" s="621">
        <f>QualityHomeProfile!C8*E73</f>
        <v>13396.467766161251</v>
      </c>
      <c r="H73" s="621">
        <f>G73/12</f>
        <v>1116.372313846771</v>
      </c>
      <c r="I73" s="621">
        <f>G73/52</f>
        <v>257.62438011848559</v>
      </c>
      <c r="J73" s="673"/>
      <c r="DB73" s="115"/>
      <c r="DC73" s="115"/>
    </row>
    <row r="74" spans="1:107" ht="28">
      <c r="B74" s="572" t="s">
        <v>506</v>
      </c>
      <c r="C74" s="573">
        <f>QualityHomeProfile!D66</f>
        <v>-51377.758764643077</v>
      </c>
      <c r="D74" s="662"/>
      <c r="E74" s="677">
        <v>0.93</v>
      </c>
      <c r="F74" s="612" t="str">
        <f>F53</f>
        <v>niños de cuatro años</v>
      </c>
      <c r="G74" s="621">
        <f>QualityHomeProfile!C9*E74</f>
        <v>13396.467766161251</v>
      </c>
      <c r="H74" s="621">
        <f>G74/12</f>
        <v>1116.372313846771</v>
      </c>
      <c r="I74" s="621">
        <f>G74/52</f>
        <v>257.62438011848559</v>
      </c>
      <c r="J74" s="673"/>
      <c r="DB74" s="115"/>
      <c r="DC74" s="115"/>
    </row>
    <row r="75" spans="1:107" ht="19" customHeight="1" thickBot="1">
      <c r="B75" s="535" t="s">
        <v>507</v>
      </c>
      <c r="C75" s="574">
        <f>QualityHomeProfile!E66</f>
        <v>-0.64200780140911418</v>
      </c>
      <c r="D75" s="662"/>
      <c r="E75" s="677">
        <v>1</v>
      </c>
      <c r="F75" s="613" t="str">
        <f>F54</f>
        <v>edad escolar</v>
      </c>
      <c r="G75" s="614">
        <f>QualityHomeProfile!C10*E75</f>
        <v>8002.6689164643076</v>
      </c>
      <c r="H75" s="614">
        <f>G75/12</f>
        <v>666.88907637202567</v>
      </c>
      <c r="I75" s="614">
        <f>G75/52</f>
        <v>153.89747916277514</v>
      </c>
      <c r="J75" s="673"/>
      <c r="DB75" s="115"/>
      <c r="DC75" s="115"/>
    </row>
    <row r="76" spans="1:107" ht="14" thickBot="1">
      <c r="B76" s="678"/>
      <c r="C76" s="676"/>
      <c r="D76" s="662"/>
      <c r="E76" s="662"/>
      <c r="F76" s="662"/>
      <c r="G76" s="662"/>
      <c r="H76" s="662"/>
      <c r="I76" s="662"/>
      <c r="J76" s="673"/>
      <c r="DB76" s="115"/>
      <c r="DC76" s="115"/>
    </row>
    <row r="77" spans="1:107" ht="15" thickBot="1">
      <c r="B77" s="661"/>
      <c r="C77" s="662"/>
      <c r="D77" s="662"/>
      <c r="E77" s="662"/>
      <c r="F77" s="683" t="s">
        <v>525</v>
      </c>
      <c r="G77" s="448" t="s">
        <v>521</v>
      </c>
      <c r="H77" s="448" t="s">
        <v>522</v>
      </c>
      <c r="I77" s="448" t="s">
        <v>523</v>
      </c>
      <c r="J77" s="673"/>
      <c r="DB77" s="115"/>
      <c r="DC77" s="115"/>
    </row>
    <row r="78" spans="1:107" customFormat="1">
      <c r="A78" s="450"/>
      <c r="B78" s="661"/>
      <c r="C78" s="662"/>
      <c r="D78" s="662"/>
      <c r="E78" s="662"/>
      <c r="F78" s="197" t="str">
        <f>F71</f>
        <v>Infantes</v>
      </c>
      <c r="G78" s="198">
        <f>G57-G71</f>
        <v>-5345.2844545993303</v>
      </c>
      <c r="H78" s="198">
        <f>H57-H71</f>
        <v>-445.44037121661086</v>
      </c>
      <c r="I78" s="198">
        <f>I57-I71</f>
        <v>-102.79393181921787</v>
      </c>
      <c r="J78" s="668"/>
      <c r="K78" s="669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450"/>
      <c r="BC78" s="450"/>
      <c r="BD78" s="450"/>
      <c r="BE78" s="450"/>
      <c r="BF78" s="450"/>
      <c r="BG78" s="450"/>
      <c r="BH78" s="450"/>
      <c r="BI78" s="450"/>
      <c r="BJ78" s="450"/>
      <c r="BK78" s="450"/>
      <c r="BL78" s="450"/>
      <c r="BM78" s="450"/>
      <c r="BN78" s="450"/>
      <c r="BO78" s="450"/>
      <c r="BP78" s="450"/>
      <c r="BQ78" s="450"/>
      <c r="BR78" s="450"/>
      <c r="BS78" s="450"/>
      <c r="BT78" s="450"/>
      <c r="BU78" s="450"/>
      <c r="BV78" s="450"/>
      <c r="BW78" s="450"/>
      <c r="BX78" s="450"/>
      <c r="BY78" s="450"/>
      <c r="BZ78" s="450"/>
      <c r="CA78" s="450"/>
      <c r="CB78" s="450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0"/>
      <c r="CO78" s="450"/>
      <c r="CP78" s="450"/>
      <c r="CQ78" s="450"/>
      <c r="CR78" s="450"/>
      <c r="CS78" s="450"/>
      <c r="CT78" s="450"/>
      <c r="CU78" s="450"/>
      <c r="CV78" s="450"/>
      <c r="CW78" s="450"/>
      <c r="CX78" s="450"/>
      <c r="CY78" s="450"/>
      <c r="CZ78" s="450"/>
      <c r="DA78" s="450"/>
    </row>
    <row r="79" spans="1:107" customFormat="1">
      <c r="A79" s="450"/>
      <c r="B79" s="661"/>
      <c r="C79" s="662"/>
      <c r="D79" s="662"/>
      <c r="E79" s="662"/>
      <c r="F79" s="199" t="str">
        <f>F72</f>
        <v>niños de dos años</v>
      </c>
      <c r="G79" s="619">
        <f>G58-G72</f>
        <v>-4780.9962116211846</v>
      </c>
      <c r="H79" s="619">
        <f>H58-H72</f>
        <v>-398.41635096843197</v>
      </c>
      <c r="I79" s="619">
        <f>I58-I72</f>
        <v>-91.942234838868927</v>
      </c>
      <c r="J79" s="668"/>
      <c r="K79" s="669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</row>
    <row r="80" spans="1:107" customFormat="1">
      <c r="A80" s="450"/>
      <c r="B80" s="661"/>
      <c r="C80" s="662"/>
      <c r="D80" s="662"/>
      <c r="E80" s="662"/>
      <c r="F80" s="199" t="str">
        <f>F73</f>
        <v>niños de tres años</v>
      </c>
      <c r="G80" s="619">
        <f>G59-G73</f>
        <v>-4996.4677661612513</v>
      </c>
      <c r="H80" s="619">
        <f>H59-H73</f>
        <v>-416.37231384677102</v>
      </c>
      <c r="I80" s="619">
        <f>I59-I73</f>
        <v>-96.085918580024043</v>
      </c>
      <c r="J80" s="668"/>
      <c r="K80" s="669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450"/>
      <c r="AQ80" s="450"/>
      <c r="AR80" s="450"/>
      <c r="AS80" s="450"/>
      <c r="AT80" s="450"/>
      <c r="AU80" s="450"/>
      <c r="AV80" s="450"/>
      <c r="AW80" s="450"/>
      <c r="AX80" s="450"/>
      <c r="AY80" s="450"/>
      <c r="AZ80" s="450"/>
      <c r="BA80" s="450"/>
      <c r="BB80" s="450"/>
      <c r="BC80" s="450"/>
      <c r="BD80" s="450"/>
      <c r="BE80" s="450"/>
      <c r="BF80" s="450"/>
      <c r="BG80" s="450"/>
      <c r="BH80" s="450"/>
      <c r="BI80" s="450"/>
      <c r="BJ80" s="450"/>
      <c r="BK80" s="450"/>
      <c r="BL80" s="450"/>
      <c r="BM80" s="450"/>
      <c r="BN80" s="450"/>
      <c r="BO80" s="450"/>
      <c r="BP80" s="450"/>
      <c r="BQ80" s="450"/>
      <c r="BR80" s="450"/>
      <c r="BS80" s="450"/>
      <c r="BT80" s="450"/>
      <c r="BU80" s="450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  <c r="CR80" s="450"/>
      <c r="CS80" s="450"/>
      <c r="CT80" s="450"/>
      <c r="CU80" s="450"/>
      <c r="CV80" s="450"/>
      <c r="CW80" s="450"/>
      <c r="CX80" s="450"/>
      <c r="CY80" s="450"/>
      <c r="CZ80" s="450"/>
      <c r="DA80" s="450"/>
    </row>
    <row r="81" spans="1:105" customFormat="1">
      <c r="A81" s="450"/>
      <c r="B81" s="661"/>
      <c r="C81" s="662"/>
      <c r="D81" s="662"/>
      <c r="E81" s="662"/>
      <c r="F81" s="199" t="str">
        <f>F74</f>
        <v>niños de cuatro años</v>
      </c>
      <c r="G81" s="619">
        <f>G60-G74</f>
        <v>-4996.4677661612513</v>
      </c>
      <c r="H81" s="619">
        <f>H60-H74</f>
        <v>-416.37231384677102</v>
      </c>
      <c r="I81" s="619">
        <f>I60-I74</f>
        <v>-96.085918580024043</v>
      </c>
      <c r="J81" s="668"/>
      <c r="K81" s="669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50"/>
      <c r="Z81" s="450"/>
      <c r="AA81" s="450"/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0"/>
      <c r="AY81" s="450"/>
      <c r="AZ81" s="450"/>
      <c r="BA81" s="450"/>
      <c r="BB81" s="450"/>
      <c r="BC81" s="450"/>
      <c r="BD81" s="450"/>
      <c r="BE81" s="450"/>
      <c r="BF81" s="450"/>
      <c r="BG81" s="450"/>
      <c r="BH81" s="450"/>
      <c r="BI81" s="450"/>
      <c r="BJ81" s="450"/>
      <c r="BK81" s="450"/>
      <c r="BL81" s="450"/>
      <c r="BM81" s="450"/>
      <c r="BN81" s="450"/>
      <c r="BO81" s="450"/>
      <c r="BP81" s="450"/>
      <c r="BQ81" s="450"/>
      <c r="BR81" s="450"/>
      <c r="BS81" s="450"/>
      <c r="BT81" s="450"/>
      <c r="BU81" s="450"/>
      <c r="BV81" s="450"/>
      <c r="BW81" s="450"/>
      <c r="BX81" s="450"/>
      <c r="BY81" s="450"/>
      <c r="BZ81" s="450"/>
      <c r="CA81" s="450"/>
      <c r="CB81" s="450"/>
      <c r="CC81" s="450"/>
      <c r="CD81" s="450"/>
      <c r="CE81" s="450"/>
      <c r="CF81" s="450"/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0"/>
      <c r="CR81" s="450"/>
      <c r="CS81" s="450"/>
      <c r="CT81" s="450"/>
      <c r="CU81" s="450"/>
      <c r="CV81" s="450"/>
      <c r="CW81" s="450"/>
      <c r="CX81" s="450"/>
      <c r="CY81" s="450"/>
      <c r="CZ81" s="450"/>
      <c r="DA81" s="450"/>
    </row>
    <row r="82" spans="1:105" customFormat="1" ht="14" thickBot="1">
      <c r="A82" s="450"/>
      <c r="B82" s="661"/>
      <c r="C82" s="662"/>
      <c r="D82" s="662"/>
      <c r="E82" s="662"/>
      <c r="F82" s="200" t="str">
        <f>F75</f>
        <v>edad escolar</v>
      </c>
      <c r="G82" s="201">
        <f>G61-G75</f>
        <v>-3058.6689164643076</v>
      </c>
      <c r="H82" s="201">
        <f>H61-H75</f>
        <v>-254.88907637202567</v>
      </c>
      <c r="I82" s="201">
        <f>I61-I75</f>
        <v>-58.820556085852061</v>
      </c>
      <c r="J82" s="668"/>
      <c r="K82" s="669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450"/>
      <c r="AS82" s="450"/>
      <c r="AT82" s="450"/>
      <c r="AU82" s="450"/>
      <c r="AV82" s="450"/>
      <c r="AW82" s="450"/>
      <c r="AX82" s="450"/>
      <c r="AY82" s="450"/>
      <c r="AZ82" s="450"/>
      <c r="BA82" s="450"/>
      <c r="BB82" s="450"/>
      <c r="BC82" s="450"/>
      <c r="BD82" s="450"/>
      <c r="BE82" s="450"/>
      <c r="BF82" s="450"/>
      <c r="BG82" s="450"/>
      <c r="BH82" s="450"/>
      <c r="BI82" s="450"/>
      <c r="BJ82" s="450"/>
      <c r="BK82" s="450"/>
      <c r="BL82" s="450"/>
      <c r="BM82" s="450"/>
      <c r="BN82" s="450"/>
      <c r="BO82" s="450"/>
      <c r="BP82" s="450"/>
      <c r="BQ82" s="450"/>
      <c r="BR82" s="450"/>
      <c r="BS82" s="450"/>
      <c r="BT82" s="450"/>
      <c r="BU82" s="450"/>
      <c r="BV82" s="450"/>
      <c r="BW82" s="450"/>
      <c r="BX82" s="450"/>
      <c r="BY82" s="450"/>
      <c r="BZ82" s="450"/>
      <c r="CA82" s="450"/>
      <c r="CB82" s="450"/>
      <c r="CC82" s="450"/>
      <c r="CD82" s="450"/>
      <c r="CE82" s="450"/>
      <c r="CF82" s="450"/>
      <c r="CG82" s="450"/>
      <c r="CH82" s="450"/>
      <c r="CI82" s="450"/>
      <c r="CJ82" s="450"/>
      <c r="CK82" s="450"/>
      <c r="CL82" s="450"/>
      <c r="CM82" s="450"/>
      <c r="CN82" s="450"/>
      <c r="CO82" s="450"/>
      <c r="CP82" s="450"/>
      <c r="CQ82" s="450"/>
      <c r="CR82" s="450"/>
      <c r="CS82" s="450"/>
      <c r="CT82" s="450"/>
      <c r="CU82" s="450"/>
      <c r="CV82" s="450"/>
      <c r="CW82" s="450"/>
      <c r="CX82" s="450"/>
      <c r="CY82" s="450"/>
      <c r="CZ82" s="450"/>
      <c r="DA82" s="450"/>
    </row>
    <row r="83" spans="1:105" customFormat="1" ht="14" thickBot="1">
      <c r="A83" s="450"/>
      <c r="B83" s="675" t="s">
        <v>524</v>
      </c>
      <c r="C83" s="674"/>
      <c r="D83" s="674"/>
      <c r="E83" s="674"/>
      <c r="F83" s="601"/>
      <c r="G83" s="674"/>
      <c r="H83" s="674"/>
      <c r="I83" s="623"/>
      <c r="J83" s="668"/>
      <c r="K83" s="669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450"/>
      <c r="BC83" s="450"/>
      <c r="BD83" s="450"/>
      <c r="BE83" s="450"/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450"/>
      <c r="BU83" s="450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  <c r="CR83" s="450"/>
      <c r="CS83" s="450"/>
      <c r="CT83" s="450"/>
      <c r="CU83" s="450"/>
      <c r="CV83" s="450"/>
      <c r="CW83" s="450"/>
      <c r="CX83" s="450"/>
      <c r="CY83" s="450"/>
      <c r="CZ83" s="450"/>
      <c r="DA83" s="450"/>
    </row>
    <row r="84" spans="1:105" customFormat="1">
      <c r="A84" s="450"/>
      <c r="B84" s="509"/>
      <c r="C84" s="509"/>
      <c r="D84" s="509"/>
      <c r="E84" s="509"/>
      <c r="F84" s="509"/>
      <c r="G84" s="509"/>
      <c r="H84" s="509"/>
      <c r="I84" s="509"/>
      <c r="J84" s="668"/>
      <c r="K84" s="669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0"/>
      <c r="AS84" s="450"/>
      <c r="AT84" s="450"/>
      <c r="AU84" s="450"/>
      <c r="AV84" s="450"/>
      <c r="AW84" s="450"/>
      <c r="AX84" s="450"/>
      <c r="AY84" s="450"/>
      <c r="AZ84" s="450"/>
      <c r="BA84" s="450"/>
      <c r="BB84" s="450"/>
      <c r="BC84" s="450"/>
      <c r="BD84" s="450"/>
      <c r="BE84" s="450"/>
      <c r="BF84" s="450"/>
      <c r="BG84" s="450"/>
      <c r="BH84" s="450"/>
      <c r="BI84" s="450"/>
      <c r="BJ84" s="450"/>
      <c r="BK84" s="450"/>
      <c r="BL84" s="450"/>
      <c r="BM84" s="450"/>
      <c r="BN84" s="450"/>
      <c r="BO84" s="450"/>
      <c r="BP84" s="450"/>
      <c r="BQ84" s="450"/>
      <c r="BR84" s="450"/>
      <c r="BS84" s="450"/>
      <c r="BT84" s="450"/>
      <c r="BU84" s="450"/>
      <c r="BV84" s="450"/>
      <c r="BW84" s="450"/>
      <c r="BX84" s="450"/>
      <c r="BY84" s="450"/>
      <c r="BZ84" s="450"/>
      <c r="CA84" s="450"/>
      <c r="CB84" s="450"/>
      <c r="CC84" s="450"/>
      <c r="CD84" s="450"/>
      <c r="CE84" s="450"/>
      <c r="CF84" s="450"/>
      <c r="CG84" s="450"/>
      <c r="CH84" s="450"/>
      <c r="CI84" s="450"/>
      <c r="CJ84" s="450"/>
      <c r="CK84" s="450"/>
      <c r="CL84" s="450"/>
      <c r="CM84" s="450"/>
      <c r="CN84" s="450"/>
      <c r="CO84" s="450"/>
      <c r="CP84" s="450"/>
      <c r="CQ84" s="450"/>
      <c r="CR84" s="450"/>
      <c r="CS84" s="450"/>
      <c r="CT84" s="450"/>
      <c r="CU84" s="450"/>
      <c r="CV84" s="450"/>
      <c r="CW84" s="450"/>
      <c r="CX84" s="450"/>
      <c r="CY84" s="450"/>
      <c r="CZ84" s="450"/>
      <c r="DA84" s="450"/>
    </row>
    <row r="85" spans="1:105">
      <c r="B85" s="509"/>
      <c r="C85" s="509"/>
      <c r="D85" s="509"/>
      <c r="E85" s="509"/>
      <c r="F85" s="509"/>
      <c r="G85" s="509"/>
      <c r="H85" s="509"/>
      <c r="I85" s="509"/>
    </row>
    <row r="86" spans="1:105" s="509" customFormat="1">
      <c r="J86" s="661"/>
      <c r="K86" s="662"/>
    </row>
    <row r="87" spans="1:105" s="509" customFormat="1">
      <c r="J87" s="661"/>
      <c r="K87" s="662"/>
    </row>
    <row r="88" spans="1:105" s="509" customFormat="1">
      <c r="J88" s="661"/>
      <c r="K88" s="662"/>
    </row>
    <row r="89" spans="1:105" s="509" customFormat="1">
      <c r="J89" s="661"/>
      <c r="K89" s="662"/>
    </row>
    <row r="90" spans="1:105" s="509" customFormat="1">
      <c r="J90" s="661"/>
      <c r="K90" s="662"/>
    </row>
    <row r="91" spans="1:105" s="509" customFormat="1">
      <c r="J91" s="661"/>
      <c r="K91" s="662"/>
    </row>
    <row r="92" spans="1:105" s="509" customFormat="1">
      <c r="J92" s="661"/>
      <c r="K92" s="662"/>
    </row>
    <row r="93" spans="1:105" s="509" customFormat="1">
      <c r="J93" s="661"/>
      <c r="K93" s="662"/>
    </row>
    <row r="94" spans="1:105" s="509" customFormat="1">
      <c r="J94" s="661"/>
      <c r="K94" s="662"/>
    </row>
    <row r="95" spans="1:105" s="509" customFormat="1">
      <c r="J95" s="661"/>
      <c r="K95" s="662"/>
    </row>
    <row r="96" spans="1:105" s="509" customFormat="1">
      <c r="J96" s="661"/>
      <c r="K96" s="662"/>
    </row>
    <row r="97" spans="10:11" s="509" customFormat="1">
      <c r="J97" s="661"/>
      <c r="K97" s="662"/>
    </row>
    <row r="98" spans="10:11" s="509" customFormat="1">
      <c r="J98" s="661"/>
      <c r="K98" s="662"/>
    </row>
    <row r="99" spans="10:11" s="509" customFormat="1">
      <c r="J99" s="661"/>
      <c r="K99" s="662"/>
    </row>
    <row r="100" spans="10:11" s="509" customFormat="1">
      <c r="J100" s="661"/>
      <c r="K100" s="662"/>
    </row>
    <row r="101" spans="10:11" s="509" customFormat="1">
      <c r="J101" s="661"/>
      <c r="K101" s="662"/>
    </row>
    <row r="102" spans="10:11" s="509" customFormat="1">
      <c r="J102" s="661"/>
      <c r="K102" s="662"/>
    </row>
    <row r="103" spans="10:11" s="509" customFormat="1">
      <c r="J103" s="661"/>
      <c r="K103" s="662"/>
    </row>
    <row r="104" spans="10:11" s="509" customFormat="1">
      <c r="J104" s="661"/>
      <c r="K104" s="662"/>
    </row>
    <row r="105" spans="10:11" s="509" customFormat="1">
      <c r="J105" s="661"/>
      <c r="K105" s="662"/>
    </row>
    <row r="106" spans="10:11" s="509" customFormat="1">
      <c r="J106" s="661"/>
      <c r="K106" s="662"/>
    </row>
    <row r="107" spans="10:11" s="509" customFormat="1">
      <c r="J107" s="661"/>
      <c r="K107" s="662"/>
    </row>
    <row r="108" spans="10:11" s="509" customFormat="1">
      <c r="J108" s="661"/>
      <c r="K108" s="662"/>
    </row>
    <row r="109" spans="10:11" s="509" customFormat="1">
      <c r="J109" s="661"/>
      <c r="K109" s="662"/>
    </row>
    <row r="110" spans="10:11" s="509" customFormat="1">
      <c r="J110" s="661"/>
      <c r="K110" s="662"/>
    </row>
    <row r="111" spans="10:11" s="509" customFormat="1">
      <c r="J111" s="661"/>
      <c r="K111" s="662"/>
    </row>
    <row r="112" spans="10:11" s="509" customFormat="1">
      <c r="J112" s="661"/>
      <c r="K112" s="662"/>
    </row>
    <row r="113" spans="10:11" s="509" customFormat="1">
      <c r="J113" s="661"/>
      <c r="K113" s="662"/>
    </row>
    <row r="114" spans="10:11" s="509" customFormat="1">
      <c r="J114" s="661"/>
      <c r="K114" s="662"/>
    </row>
    <row r="115" spans="10:11" s="509" customFormat="1">
      <c r="J115" s="661"/>
      <c r="K115" s="662"/>
    </row>
    <row r="116" spans="10:11" s="509" customFormat="1">
      <c r="J116" s="661"/>
      <c r="K116" s="662"/>
    </row>
    <row r="117" spans="10:11" s="509" customFormat="1">
      <c r="J117" s="661"/>
      <c r="K117" s="662"/>
    </row>
    <row r="118" spans="10:11" s="509" customFormat="1">
      <c r="J118" s="661"/>
      <c r="K118" s="662"/>
    </row>
    <row r="119" spans="10:11" s="509" customFormat="1">
      <c r="J119" s="661"/>
      <c r="K119" s="662"/>
    </row>
    <row r="120" spans="10:11" s="509" customFormat="1">
      <c r="J120" s="661"/>
      <c r="K120" s="662"/>
    </row>
    <row r="121" spans="10:11" s="509" customFormat="1">
      <c r="J121" s="661"/>
      <c r="K121" s="662"/>
    </row>
    <row r="122" spans="10:11" s="509" customFormat="1">
      <c r="J122" s="661"/>
      <c r="K122" s="662"/>
    </row>
    <row r="123" spans="10:11" s="509" customFormat="1">
      <c r="J123" s="661"/>
      <c r="K123" s="662"/>
    </row>
    <row r="124" spans="10:11" s="509" customFormat="1">
      <c r="J124" s="661"/>
      <c r="K124" s="662"/>
    </row>
    <row r="125" spans="10:11" s="509" customFormat="1">
      <c r="J125" s="661"/>
      <c r="K125" s="662"/>
    </row>
    <row r="126" spans="10:11" s="509" customFormat="1">
      <c r="J126" s="661"/>
      <c r="K126" s="662"/>
    </row>
    <row r="127" spans="10:11" s="509" customFormat="1">
      <c r="J127" s="661"/>
      <c r="K127" s="662"/>
    </row>
    <row r="128" spans="10:11" s="509" customFormat="1">
      <c r="J128" s="661"/>
      <c r="K128" s="662"/>
    </row>
    <row r="129" spans="10:11" s="509" customFormat="1">
      <c r="J129" s="661"/>
      <c r="K129" s="662"/>
    </row>
    <row r="130" spans="10:11" s="509" customFormat="1">
      <c r="J130" s="661"/>
      <c r="K130" s="662"/>
    </row>
    <row r="131" spans="10:11" s="509" customFormat="1">
      <c r="J131" s="661"/>
      <c r="K131" s="662"/>
    </row>
    <row r="132" spans="10:11" s="509" customFormat="1">
      <c r="J132" s="661"/>
      <c r="K132" s="662"/>
    </row>
    <row r="133" spans="10:11" s="509" customFormat="1">
      <c r="J133" s="661"/>
      <c r="K133" s="662"/>
    </row>
    <row r="134" spans="10:11" s="509" customFormat="1">
      <c r="J134" s="661"/>
      <c r="K134" s="662"/>
    </row>
    <row r="135" spans="10:11" s="509" customFormat="1">
      <c r="J135" s="661"/>
      <c r="K135" s="662"/>
    </row>
    <row r="136" spans="10:11" s="509" customFormat="1">
      <c r="J136" s="661"/>
      <c r="K136" s="662"/>
    </row>
    <row r="137" spans="10:11" s="509" customFormat="1">
      <c r="J137" s="661"/>
      <c r="K137" s="662"/>
    </row>
    <row r="138" spans="10:11" s="509" customFormat="1">
      <c r="J138" s="661"/>
      <c r="K138" s="662"/>
    </row>
    <row r="139" spans="10:11" s="509" customFormat="1">
      <c r="J139" s="661"/>
      <c r="K139" s="662"/>
    </row>
    <row r="140" spans="10:11" s="509" customFormat="1">
      <c r="J140" s="661"/>
      <c r="K140" s="662"/>
    </row>
    <row r="141" spans="10:11" s="509" customFormat="1">
      <c r="J141" s="661"/>
      <c r="K141" s="662"/>
    </row>
    <row r="142" spans="10:11" s="509" customFormat="1">
      <c r="J142" s="661"/>
      <c r="K142" s="662"/>
    </row>
    <row r="143" spans="10:11" s="509" customFormat="1">
      <c r="J143" s="661"/>
      <c r="K143" s="662"/>
    </row>
    <row r="144" spans="10:11" s="509" customFormat="1">
      <c r="J144" s="661"/>
      <c r="K144" s="662"/>
    </row>
    <row r="145" spans="10:11" s="509" customFormat="1">
      <c r="J145" s="661"/>
      <c r="K145" s="662"/>
    </row>
    <row r="146" spans="10:11" s="509" customFormat="1">
      <c r="J146" s="661"/>
      <c r="K146" s="662"/>
    </row>
    <row r="147" spans="10:11" s="509" customFormat="1">
      <c r="J147" s="661"/>
      <c r="K147" s="662"/>
    </row>
    <row r="148" spans="10:11" s="509" customFormat="1">
      <c r="J148" s="661"/>
      <c r="K148" s="662"/>
    </row>
    <row r="149" spans="10:11" s="509" customFormat="1">
      <c r="J149" s="661"/>
      <c r="K149" s="662"/>
    </row>
    <row r="150" spans="10:11" s="509" customFormat="1">
      <c r="J150" s="661"/>
      <c r="K150" s="662"/>
    </row>
    <row r="151" spans="10:11" s="509" customFormat="1">
      <c r="J151" s="661"/>
      <c r="K151" s="662"/>
    </row>
    <row r="152" spans="10:11" s="509" customFormat="1">
      <c r="J152" s="661"/>
      <c r="K152" s="662"/>
    </row>
    <row r="153" spans="10:11" s="509" customFormat="1">
      <c r="J153" s="661"/>
      <c r="K153" s="662"/>
    </row>
    <row r="154" spans="10:11" s="509" customFormat="1">
      <c r="J154" s="661"/>
      <c r="K154" s="662"/>
    </row>
    <row r="155" spans="10:11" s="509" customFormat="1">
      <c r="J155" s="661"/>
      <c r="K155" s="662"/>
    </row>
    <row r="156" spans="10:11" s="509" customFormat="1">
      <c r="J156" s="661"/>
      <c r="K156" s="662"/>
    </row>
    <row r="157" spans="10:11" s="509" customFormat="1">
      <c r="J157" s="661"/>
      <c r="K157" s="662"/>
    </row>
    <row r="158" spans="10:11" s="509" customFormat="1">
      <c r="J158" s="661"/>
      <c r="K158" s="662"/>
    </row>
    <row r="159" spans="10:11" s="509" customFormat="1">
      <c r="J159" s="661"/>
      <c r="K159" s="662"/>
    </row>
    <row r="160" spans="10:11" s="509" customFormat="1">
      <c r="J160" s="661"/>
      <c r="K160" s="662"/>
    </row>
    <row r="161" spans="2:11" s="509" customFormat="1">
      <c r="J161" s="661"/>
      <c r="K161" s="662"/>
    </row>
    <row r="162" spans="2:11" s="509" customFormat="1">
      <c r="J162" s="661"/>
      <c r="K162" s="662"/>
    </row>
    <row r="163" spans="2:11" s="509" customFormat="1">
      <c r="J163" s="661"/>
      <c r="K163" s="662"/>
    </row>
    <row r="164" spans="2:11" s="509" customFormat="1">
      <c r="J164" s="661"/>
      <c r="K164" s="662"/>
    </row>
    <row r="165" spans="2:11" s="509" customFormat="1">
      <c r="B165" s="115"/>
      <c r="C165" s="115"/>
      <c r="D165" s="115"/>
      <c r="E165" s="115"/>
      <c r="F165" s="115"/>
      <c r="G165" s="115"/>
      <c r="H165" s="115"/>
      <c r="I165" s="115"/>
      <c r="J165" s="661"/>
      <c r="K165" s="662"/>
    </row>
    <row r="166" spans="2:11" s="509" customFormat="1">
      <c r="B166" s="115"/>
      <c r="C166" s="115"/>
      <c r="D166" s="115"/>
      <c r="E166" s="115"/>
      <c r="F166" s="115"/>
      <c r="G166" s="115"/>
      <c r="H166" s="115"/>
      <c r="I166" s="115"/>
      <c r="J166" s="661"/>
      <c r="K166" s="662"/>
    </row>
  </sheetData>
  <sheetProtection algorithmName="SHA-512" hashValue="mxd8DwqXd7sCDgK2ylx2Z+gDX19rxkjcuHvowg+lA9HJs6d6jB2j6wQkFSlOXFquqnaDW8JJbtRfP0Ork0iRcQ==" saltValue="Osh8chnfTMgj1Q3gKc80LA==" spinCount="100000" sheet="1" objects="1" scenarios="1" selectLockedCells="1"/>
  <conditionalFormatting sqref="C73:C75">
    <cfRule type="cellIs" dxfId="2" priority="1" operator="lessThan">
      <formula>0</formula>
    </cfRule>
  </conditionalFormatting>
  <dataValidations count="9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32" workbookViewId="0">
      <selection activeCell="D67" sqref="D67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179</v>
      </c>
      <c r="B1" s="124"/>
      <c r="C1" s="124"/>
      <c r="D1" s="120" t="str">
        <f>IF('VariablesINPUT-FCC'!F2='VariablesINPUT-FCC'!G2,"Licensing/Star 2",IF('VariablesINPUT-FCC'!F2='VariablesINPUT-FCC'!H2,"Star 2+/3",IF('VariablesINPUT-FCC'!F2='VariablesINPUT-FCC'!I2,"Star 4",IF('VariablesINPUT-FCC'!F2='VariablesINPUT-FCC'!J2,"Star 5",0))))</f>
        <v>Licensing/Star 2</v>
      </c>
      <c r="E1" s="120"/>
    </row>
    <row r="2" spans="1:23" ht="28">
      <c r="A2" s="118"/>
      <c r="B2" s="125" t="s">
        <v>75</v>
      </c>
      <c r="C2" s="118"/>
      <c r="D2" s="126"/>
      <c r="E2" s="115" t="s">
        <v>76</v>
      </c>
      <c r="S2" s="127"/>
    </row>
    <row r="3" spans="1:23" ht="14">
      <c r="A3" s="118"/>
      <c r="B3" s="125" t="s">
        <v>77</v>
      </c>
      <c r="C3" s="118"/>
      <c r="D3" s="128"/>
      <c r="E3" s="115" t="s">
        <v>78</v>
      </c>
    </row>
    <row r="4" spans="1:23">
      <c r="A4" s="116"/>
      <c r="B4" s="129"/>
      <c r="C4" s="130"/>
      <c r="D4" s="130"/>
      <c r="E4" s="130"/>
      <c r="F4" s="130"/>
      <c r="G4" s="130"/>
    </row>
    <row r="5" spans="1:23" ht="15">
      <c r="B5" s="131"/>
      <c r="C5" s="132" t="s">
        <v>180</v>
      </c>
      <c r="D5" s="115" t="s">
        <v>181</v>
      </c>
      <c r="E5" s="133"/>
      <c r="F5" s="233" t="s">
        <v>182</v>
      </c>
      <c r="G5" s="115" t="s">
        <v>104</v>
      </c>
      <c r="H5" s="235" t="s">
        <v>183</v>
      </c>
      <c r="I5" s="237" t="s">
        <v>184</v>
      </c>
      <c r="J5" s="235" t="s">
        <v>185</v>
      </c>
      <c r="K5" s="235" t="s">
        <v>186</v>
      </c>
      <c r="L5" s="336" t="s">
        <v>187</v>
      </c>
      <c r="M5" s="336" t="s">
        <v>21</v>
      </c>
      <c r="N5" s="118" t="s">
        <v>99</v>
      </c>
      <c r="O5" s="118"/>
      <c r="Q5" s="134"/>
      <c r="R5" s="118"/>
      <c r="S5" s="118"/>
    </row>
    <row r="6" spans="1:23" ht="15">
      <c r="A6" s="128">
        <f>'VariablesINPUT-FCC'!C7</f>
        <v>2</v>
      </c>
      <c r="B6" s="119" t="s">
        <v>13</v>
      </c>
      <c r="C6" s="135">
        <f>IF(A6&gt;0,G6,0)</f>
        <v>14404.804049635753</v>
      </c>
      <c r="D6" s="155">
        <f>C6*A6</f>
        <v>28809.608099271507</v>
      </c>
      <c r="E6" s="339">
        <f>C6/12</f>
        <v>1200.400337469646</v>
      </c>
      <c r="F6" s="234">
        <f>$D$49/A$11</f>
        <v>13337.781527440513</v>
      </c>
      <c r="G6" s="333">
        <f>IF(A6&gt;0,N6/A6,0)</f>
        <v>14404.804049635753</v>
      </c>
      <c r="H6" s="337">
        <f>SUM(I6:M6)</f>
        <v>26675.563054881026</v>
      </c>
      <c r="I6" s="344">
        <f>SUM(D20/A$11*A6)</f>
        <v>14440.08</v>
      </c>
      <c r="J6" s="337">
        <f>SUM($D$27/$A$11)*A6</f>
        <v>1465.66812</v>
      </c>
      <c r="K6" s="337">
        <f>SUM(D$33/$A$11)*A6</f>
        <v>2960.435897435897</v>
      </c>
      <c r="L6" s="337">
        <f>D$46*A6</f>
        <v>6877.7065041117939</v>
      </c>
      <c r="M6" s="337">
        <f>SUM(D$48/A$11)*A6</f>
        <v>931.67253333333338</v>
      </c>
      <c r="N6" s="376">
        <f>SUM(H6,O$13*A6)</f>
        <v>28809.608099271507</v>
      </c>
      <c r="P6" s="134"/>
    </row>
    <row r="7" spans="1:23" ht="15">
      <c r="A7" s="128">
        <f>'VariablesINPUT-FCC'!C8</f>
        <v>1</v>
      </c>
      <c r="B7" s="119" t="s">
        <v>188</v>
      </c>
      <c r="C7" s="135">
        <f>IF(A7&gt;0,G7,0)</f>
        <v>14404.804049635753</v>
      </c>
      <c r="D7" s="155">
        <f>C7*A7</f>
        <v>14404.804049635753</v>
      </c>
      <c r="E7" s="339">
        <f t="shared" ref="E7:E10" si="0">C7/12</f>
        <v>1200.400337469646</v>
      </c>
      <c r="F7" s="234">
        <f>$D$49/A$11</f>
        <v>13337.781527440513</v>
      </c>
      <c r="G7" s="333">
        <f>IF(A7&gt;0,N7/A7,0)</f>
        <v>14404.804049635753</v>
      </c>
      <c r="H7" s="337">
        <f t="shared" ref="H7:H10" si="1">SUM(I7:M7)</f>
        <v>13337.781527440513</v>
      </c>
      <c r="I7" s="344">
        <f>SUM(D$20/A$11*A7)</f>
        <v>7220.04</v>
      </c>
      <c r="J7" s="337">
        <f>SUM($D$27/$A$11)*A7</f>
        <v>732.83406000000002</v>
      </c>
      <c r="K7" s="337">
        <f>SUM(D$33/$A$11)*A7</f>
        <v>1480.2179487179485</v>
      </c>
      <c r="L7" s="337">
        <f>D$46*A7</f>
        <v>3438.853252055897</v>
      </c>
      <c r="M7" s="337">
        <f t="shared" ref="M7:M10" si="2">SUM(D$48/A$11)*A7</f>
        <v>465.83626666666669</v>
      </c>
      <c r="N7" s="376">
        <f>SUM(H7,O$13*A7)</f>
        <v>14404.804049635753</v>
      </c>
      <c r="P7" s="138"/>
      <c r="Q7" s="138"/>
      <c r="R7" s="139"/>
      <c r="S7" s="123"/>
      <c r="U7" s="123"/>
    </row>
    <row r="8" spans="1:23" ht="15">
      <c r="A8" s="128">
        <f>'VariablesINPUT-FCC'!C9</f>
        <v>1</v>
      </c>
      <c r="B8" s="119" t="s">
        <v>189</v>
      </c>
      <c r="C8" s="135">
        <f>IF(A8&gt;0,G8,0)</f>
        <v>14404.804049635753</v>
      </c>
      <c r="D8" s="155">
        <f>C8*A8</f>
        <v>14404.804049635753</v>
      </c>
      <c r="E8" s="339">
        <f t="shared" si="0"/>
        <v>1200.400337469646</v>
      </c>
      <c r="F8" s="234">
        <f>$D$49/A$11</f>
        <v>13337.781527440513</v>
      </c>
      <c r="G8" s="333">
        <f>IF(A8&gt;0,N8/A8,0)</f>
        <v>14404.804049635753</v>
      </c>
      <c r="H8" s="337">
        <f t="shared" si="1"/>
        <v>13337.781527440513</v>
      </c>
      <c r="I8" s="344">
        <f>SUM(D$20/A$11*A8)</f>
        <v>7220.04</v>
      </c>
      <c r="J8" s="337">
        <f>SUM($D$27/$A$11)*A8</f>
        <v>732.83406000000002</v>
      </c>
      <c r="K8" s="337">
        <f>SUM(D$33/$A$11)*A8</f>
        <v>1480.2179487179485</v>
      </c>
      <c r="L8" s="337">
        <f>D$46*A8</f>
        <v>3438.853252055897</v>
      </c>
      <c r="M8" s="337">
        <f t="shared" si="2"/>
        <v>465.83626666666669</v>
      </c>
      <c r="N8" s="376">
        <f>SUM(H8,O$13*A8)</f>
        <v>14404.804049635753</v>
      </c>
      <c r="P8" s="138"/>
      <c r="Q8" s="138"/>
      <c r="R8" s="139"/>
      <c r="S8" s="123"/>
      <c r="W8" s="123"/>
    </row>
    <row r="9" spans="1:23" ht="15">
      <c r="A9" s="128">
        <f>'VariablesINPUT-FCC'!C10</f>
        <v>1</v>
      </c>
      <c r="B9" s="119" t="s">
        <v>190</v>
      </c>
      <c r="C9" s="135">
        <f>IF(A9&gt;0,G9,0)</f>
        <v>14404.804049635753</v>
      </c>
      <c r="D9" s="155">
        <f>C9*A9</f>
        <v>14404.804049635753</v>
      </c>
      <c r="E9" s="339">
        <f t="shared" si="0"/>
        <v>1200.400337469646</v>
      </c>
      <c r="F9" s="234">
        <f>$D$49/A$11</f>
        <v>13337.781527440513</v>
      </c>
      <c r="G9" s="333">
        <f>IF(A9&gt;0,N9/A9,0)</f>
        <v>14404.804049635753</v>
      </c>
      <c r="H9" s="337">
        <f t="shared" si="1"/>
        <v>13337.781527440513</v>
      </c>
      <c r="I9" s="344">
        <f>SUM(D$20/A$11*A9)</f>
        <v>7220.04</v>
      </c>
      <c r="J9" s="337">
        <f>SUM($D$27/$A$11)*A9</f>
        <v>732.83406000000002</v>
      </c>
      <c r="K9" s="337">
        <f>SUM(D$33/$A$11)*A9</f>
        <v>1480.2179487179485</v>
      </c>
      <c r="L9" s="337">
        <f>D$46*A9</f>
        <v>3438.853252055897</v>
      </c>
      <c r="M9" s="337">
        <f t="shared" si="2"/>
        <v>465.83626666666669</v>
      </c>
      <c r="N9" s="376">
        <f>SUM(H9,O$13*A9)</f>
        <v>14404.804049635753</v>
      </c>
      <c r="P9" s="138"/>
      <c r="Q9" s="138"/>
      <c r="R9" s="139"/>
      <c r="S9" s="123"/>
    </row>
    <row r="10" spans="1:23" ht="15">
      <c r="A10" s="128">
        <f>'VariablesINPUT-FCC'!C11</f>
        <v>1</v>
      </c>
      <c r="B10" s="119" t="s">
        <v>17</v>
      </c>
      <c r="C10" s="135">
        <f>IF(A10&gt;0,G10,0)</f>
        <v>8002.6689164643076</v>
      </c>
      <c r="D10" s="155">
        <f>C10*A10</f>
        <v>8002.6689164643076</v>
      </c>
      <c r="E10" s="339">
        <f t="shared" si="0"/>
        <v>666.88907637202567</v>
      </c>
      <c r="F10" s="236">
        <f>$D$49/A$11</f>
        <v>13337.781527440513</v>
      </c>
      <c r="G10" s="333">
        <f>IF(A10&gt;0,N10/A10,0)</f>
        <v>8002.6689164643076</v>
      </c>
      <c r="H10" s="337">
        <f t="shared" si="1"/>
        <v>13337.781527440513</v>
      </c>
      <c r="I10" s="344">
        <f>SUM(E$20/A$11*A10)</f>
        <v>7220.04</v>
      </c>
      <c r="J10" s="337">
        <f>SUM($D$27/$A$11)*A10</f>
        <v>732.83406000000002</v>
      </c>
      <c r="K10" s="337">
        <f>SUM(D$33/$A$11)*A10</f>
        <v>1480.2179487179485</v>
      </c>
      <c r="L10" s="337">
        <f>D$46*A10</f>
        <v>3438.853252055897</v>
      </c>
      <c r="M10" s="337">
        <f t="shared" si="2"/>
        <v>465.83626666666669</v>
      </c>
      <c r="N10" s="183">
        <f>H10*60%</f>
        <v>8002.6689164643076</v>
      </c>
      <c r="P10" s="138"/>
      <c r="Q10" s="138"/>
      <c r="R10" s="139"/>
      <c r="S10" s="123"/>
    </row>
    <row r="11" spans="1:23" ht="15">
      <c r="A11" s="153">
        <f>SUM(A6:A10)</f>
        <v>6</v>
      </c>
      <c r="B11" s="140" t="s">
        <v>191</v>
      </c>
      <c r="C11" s="141"/>
      <c r="D11" s="291">
        <f>SUM(D6:D10)</f>
        <v>80026.689164643074</v>
      </c>
      <c r="E11" s="142" t="str">
        <f>IF(F13=0,"Correct", "Error" )</f>
        <v>Correct</v>
      </c>
      <c r="F11" s="292">
        <f>D11</f>
        <v>80026.689164643074</v>
      </c>
      <c r="G11" s="133"/>
      <c r="H11" s="338">
        <f t="shared" ref="H11:M11" si="3">SUM(H6:H10)</f>
        <v>80026.689164643074</v>
      </c>
      <c r="I11" s="338">
        <f>SUM(I6:I10)</f>
        <v>43320.24</v>
      </c>
      <c r="J11" s="338">
        <f>SUM(J6:J10)</f>
        <v>4397.0043599999999</v>
      </c>
      <c r="K11" s="338">
        <f>SUM(K6:K10)</f>
        <v>8881.3076923076915</v>
      </c>
      <c r="L11" s="338">
        <f t="shared" si="3"/>
        <v>20633.119512335383</v>
      </c>
      <c r="M11" s="338">
        <f t="shared" si="3"/>
        <v>2795.0176000000001</v>
      </c>
      <c r="N11" s="338">
        <f>SUM(N6:N10)</f>
        <v>80026.689164643074</v>
      </c>
      <c r="P11" s="138"/>
      <c r="Q11" s="138"/>
      <c r="R11" s="139"/>
      <c r="S11" s="123"/>
    </row>
    <row r="12" spans="1:23">
      <c r="A12" s="358">
        <f>SUM(A6:A9)</f>
        <v>5</v>
      </c>
      <c r="B12" s="119"/>
      <c r="D12" s="136">
        <f>D11-D49</f>
        <v>0</v>
      </c>
      <c r="F12" s="293">
        <f>D49</f>
        <v>80026.689164643074</v>
      </c>
      <c r="I12" s="375"/>
      <c r="K12" s="137"/>
      <c r="L12" s="137"/>
      <c r="M12" s="137"/>
      <c r="N12" s="137"/>
      <c r="O12" s="374">
        <f>H10-N10</f>
        <v>5335.1126109762054</v>
      </c>
      <c r="Q12" s="138"/>
      <c r="R12" s="138"/>
      <c r="S12" s="139"/>
      <c r="T12" s="123"/>
    </row>
    <row r="13" spans="1:23" ht="17">
      <c r="A13" s="314">
        <f>SUM(A6:A7)</f>
        <v>3</v>
      </c>
      <c r="B13" s="143" t="s">
        <v>192</v>
      </c>
      <c r="C13" s="144"/>
      <c r="F13" s="293">
        <f>F11-F12</f>
        <v>0</v>
      </c>
      <c r="I13" s="374"/>
      <c r="J13" s="183"/>
      <c r="K13" s="137"/>
      <c r="L13" s="137"/>
      <c r="M13" s="137"/>
      <c r="N13" s="137"/>
      <c r="O13" s="374">
        <f>O12/SUM(A6:A9)</f>
        <v>1067.022522195241</v>
      </c>
      <c r="Q13" s="138"/>
      <c r="R13" s="138"/>
      <c r="S13" s="139"/>
      <c r="T13" s="123"/>
      <c r="U13" s="138"/>
    </row>
    <row r="14" spans="1:23" ht="18" thickBot="1">
      <c r="B14" s="145" t="s">
        <v>193</v>
      </c>
      <c r="C14" s="146"/>
      <c r="D14" s="147"/>
      <c r="E14" s="147"/>
      <c r="F14" s="147"/>
      <c r="G14" s="146"/>
      <c r="H14" s="19" t="s">
        <v>105</v>
      </c>
      <c r="L14"/>
      <c r="M14" s="435">
        <v>0</v>
      </c>
      <c r="N14" s="29" t="s">
        <v>424</v>
      </c>
      <c r="O14" s="332"/>
      <c r="P14" s="332"/>
      <c r="Q14" s="138"/>
      <c r="S14" s="139"/>
      <c r="T14" s="123"/>
      <c r="U14" s="138"/>
    </row>
    <row r="15" spans="1:23" ht="16">
      <c r="B15" s="148"/>
      <c r="C15" s="115" t="s">
        <v>72</v>
      </c>
      <c r="D15" s="115" t="s">
        <v>97</v>
      </c>
      <c r="E15" s="149" t="s">
        <v>194</v>
      </c>
      <c r="F15" s="115" t="s">
        <v>195</v>
      </c>
      <c r="H15" s="75" t="s">
        <v>2</v>
      </c>
      <c r="I15" s="300" t="s">
        <v>1</v>
      </c>
      <c r="J15" s="300" t="s">
        <v>3</v>
      </c>
      <c r="K15" s="300" t="s">
        <v>4</v>
      </c>
      <c r="L15" s="203"/>
      <c r="M15" s="29" t="s">
        <v>2</v>
      </c>
      <c r="N15" s="300" t="s">
        <v>1</v>
      </c>
      <c r="O15" s="301" t="s">
        <v>3</v>
      </c>
      <c r="P15" s="300" t="s">
        <v>4</v>
      </c>
      <c r="Q15" s="123"/>
      <c r="R15" s="138"/>
    </row>
    <row r="16" spans="1:23" ht="14">
      <c r="A16" s="185">
        <v>1</v>
      </c>
      <c r="B16" s="119" t="s">
        <v>196</v>
      </c>
      <c r="C16" s="289">
        <f>IF(D$1="Licensing/Star 2",H16+M16,IF(D$1="Star 2+/3",I16+N16,IF(D$1="Star 4",J16+O16,K16+P16)))</f>
        <v>43140.24</v>
      </c>
      <c r="D16" s="341">
        <f>SUM(E16:G16)</f>
        <v>43140.24</v>
      </c>
      <c r="E16" s="150">
        <f>C16*A16</f>
        <v>43140.24</v>
      </c>
      <c r="H16" s="363">
        <f>Wages!B38</f>
        <v>43140.24</v>
      </c>
      <c r="I16" s="363">
        <f>Wages!C38</f>
        <v>43140.24</v>
      </c>
      <c r="J16" s="363">
        <f>Wages!D38</f>
        <v>47454.264000000003</v>
      </c>
      <c r="K16" s="363">
        <f>Wages!E38</f>
        <v>51768.287999999993</v>
      </c>
      <c r="L16" s="38"/>
      <c r="M16" s="362">
        <f>SUM($M$14*H16)</f>
        <v>0</v>
      </c>
      <c r="N16" s="362">
        <f t="shared" ref="N16:P17" si="4">SUM($M$14*I16)</f>
        <v>0</v>
      </c>
      <c r="O16" s="362">
        <f t="shared" si="4"/>
        <v>0</v>
      </c>
      <c r="P16" s="362">
        <f t="shared" si="4"/>
        <v>0</v>
      </c>
      <c r="Q16" s="123"/>
      <c r="R16" s="138"/>
    </row>
    <row r="17" spans="1:18" ht="14">
      <c r="A17" s="184">
        <f>IF(A11&gt;6,1,0)</f>
        <v>0</v>
      </c>
      <c r="B17" s="119" t="s">
        <v>197</v>
      </c>
      <c r="C17" s="289">
        <f>IF(D$1="Licensing/Star 2",H17+M17,IF(D$1="Star 2+/3",I17+N17,IF(D$1="Star 4",J17+O17,K17+P17)))</f>
        <v>31200</v>
      </c>
      <c r="D17" s="341">
        <f>SUM(E17:G17)</f>
        <v>0</v>
      </c>
      <c r="E17" s="150">
        <f>C17*A17</f>
        <v>0</v>
      </c>
      <c r="G17" s="150"/>
      <c r="H17" s="363">
        <f>Wages!B39</f>
        <v>31200</v>
      </c>
      <c r="I17" s="363">
        <f>Wages!C39</f>
        <v>31200</v>
      </c>
      <c r="J17" s="363">
        <f>Wages!D39</f>
        <v>34320</v>
      </c>
      <c r="K17" s="363">
        <f>Wages!E39</f>
        <v>37440</v>
      </c>
      <c r="L17" s="38"/>
      <c r="M17" s="362">
        <f>SUM($M$14*H17)</f>
        <v>0</v>
      </c>
      <c r="N17" s="362">
        <f t="shared" si="4"/>
        <v>0</v>
      </c>
      <c r="O17" s="362">
        <f t="shared" si="4"/>
        <v>0</v>
      </c>
      <c r="P17" s="362">
        <f t="shared" si="4"/>
        <v>0</v>
      </c>
      <c r="Q17" s="123"/>
      <c r="R17" s="138"/>
    </row>
    <row r="18" spans="1:18" ht="14">
      <c r="A18" s="184">
        <f>IF(A11&lt;7,IF(A6&gt;2,1,0),0)</f>
        <v>0</v>
      </c>
      <c r="B18" s="119" t="s">
        <v>198</v>
      </c>
      <c r="C18" s="289">
        <f>C17</f>
        <v>31200</v>
      </c>
      <c r="D18" s="341">
        <f>SUM(F18:G18)</f>
        <v>0</v>
      </c>
      <c r="F18" s="150">
        <f>C18*A18</f>
        <v>0</v>
      </c>
      <c r="H18" s="38"/>
      <c r="I18"/>
      <c r="L18" s="123"/>
      <c r="M18" s="362"/>
      <c r="N18" s="362"/>
      <c r="O18" s="362"/>
      <c r="P18" s="362"/>
    </row>
    <row r="19" spans="1:18" ht="15">
      <c r="A19" s="383">
        <f>IF(D1="Licensing/Star 2",(12*A20),IF(D1="Star 2+/3",(2+((12+2.5)*A20)),IF(D1="Star 4",(3+(12+2.5)*A20),IF(D1="Star 5",(4+(12+2.5)*A20),0))))/2080</f>
        <v>5.7692307692307696E-3</v>
      </c>
      <c r="B19" s="119" t="s">
        <v>199</v>
      </c>
      <c r="C19" s="289">
        <f>C17</f>
        <v>31200</v>
      </c>
      <c r="D19" s="341">
        <f>SUM(E19:F19)</f>
        <v>180</v>
      </c>
      <c r="E19" s="150">
        <f>(C19*A19)</f>
        <v>180</v>
      </c>
      <c r="F19" s="151"/>
      <c r="G19" s="382"/>
      <c r="H19" s="386"/>
      <c r="I19" s="238"/>
      <c r="J19" s="133"/>
      <c r="K19" s="139"/>
      <c r="L19" s="136"/>
      <c r="M19" s="70"/>
      <c r="N19" s="219"/>
      <c r="O19" s="217"/>
      <c r="P19" s="220"/>
      <c r="Q19"/>
    </row>
    <row r="20" spans="1:18">
      <c r="A20" s="152">
        <f>SUM(A16:A18)</f>
        <v>1</v>
      </c>
      <c r="B20" s="117" t="s">
        <v>200</v>
      </c>
      <c r="D20" s="154">
        <f>SUM(E20:F20)</f>
        <v>43320.24</v>
      </c>
      <c r="E20" s="154">
        <f>SUM(E16:E19)</f>
        <v>43320.24</v>
      </c>
      <c r="F20" s="154">
        <f>SUM(F16:F19)</f>
        <v>0</v>
      </c>
      <c r="G20" s="154"/>
      <c r="H20" s="357">
        <f>D20/6</f>
        <v>7220.04</v>
      </c>
      <c r="I20" s="357"/>
      <c r="J20" s="183"/>
      <c r="K20" s="357"/>
      <c r="L20" s="136"/>
      <c r="M20" s="11"/>
      <c r="N20" s="219"/>
      <c r="O20" s="218"/>
      <c r="P20" s="220"/>
      <c r="Q20" s="5"/>
    </row>
    <row r="21" spans="1:18">
      <c r="A21" s="183"/>
      <c r="B21" s="119"/>
      <c r="E21" s="155"/>
      <c r="H21" s="139"/>
      <c r="I21" s="139"/>
      <c r="M21" s="362"/>
      <c r="N21" s="362"/>
      <c r="O21" s="362"/>
      <c r="P21" s="362"/>
      <c r="Q21"/>
    </row>
    <row r="22" spans="1:18" ht="15">
      <c r="B22" s="140" t="s">
        <v>201</v>
      </c>
      <c r="C22" s="122"/>
      <c r="D22" s="115" t="s">
        <v>97</v>
      </c>
      <c r="E22" s="155" t="s">
        <v>202</v>
      </c>
      <c r="F22" s="115" t="s">
        <v>195</v>
      </c>
      <c r="H22" s="133"/>
      <c r="I22" s="133"/>
      <c r="J22" s="133"/>
      <c r="M22" s="362"/>
      <c r="N22" s="362"/>
      <c r="O22" s="362"/>
      <c r="P22" s="362"/>
      <c r="Q22"/>
    </row>
    <row r="23" spans="1:18" ht="15">
      <c r="B23" s="119" t="s">
        <v>129</v>
      </c>
      <c r="C23" s="156">
        <v>6.2E-2</v>
      </c>
      <c r="D23" s="183">
        <f>SUM(E23:F23)</f>
        <v>2685.8548799999999</v>
      </c>
      <c r="E23" s="183">
        <f>SUM(E$16:E$17,E$19:E$19)*C23</f>
        <v>2685.8548799999999</v>
      </c>
      <c r="F23" s="183">
        <f>F$18*C23</f>
        <v>0</v>
      </c>
      <c r="G23" s="136"/>
      <c r="H23" s="133"/>
      <c r="I23" s="133"/>
      <c r="J23" s="133"/>
      <c r="M23" s="362"/>
      <c r="N23" s="362"/>
      <c r="O23" s="362"/>
      <c r="P23" s="362"/>
      <c r="Q23"/>
    </row>
    <row r="24" spans="1:18" ht="15">
      <c r="B24" s="119" t="s">
        <v>130</v>
      </c>
      <c r="C24" s="156">
        <v>1.4500000000000001E-2</v>
      </c>
      <c r="D24" s="183">
        <f>SUM(E24:F24)</f>
        <v>628.14347999999995</v>
      </c>
      <c r="E24" s="183">
        <f>SUM(E$16:E$17,E$19:E$19)*C24</f>
        <v>628.14347999999995</v>
      </c>
      <c r="F24" s="183">
        <f>F$18*C24</f>
        <v>0</v>
      </c>
      <c r="G24" s="136"/>
      <c r="H24" s="133"/>
      <c r="I24" s="133"/>
      <c r="J24" s="133"/>
      <c r="M24" s="362"/>
      <c r="N24" s="362"/>
      <c r="O24" s="362"/>
      <c r="P24" s="362"/>
      <c r="Q24" s="29"/>
    </row>
    <row r="25" spans="1:18" ht="15">
      <c r="B25" s="119" t="s">
        <v>203</v>
      </c>
      <c r="C25" s="156">
        <v>5.0000000000000001E-3</v>
      </c>
      <c r="D25" s="183">
        <f>SUM(E25:F25)</f>
        <v>216.60120000000001</v>
      </c>
      <c r="E25" s="183">
        <f>SUM(E$16:E$17,E$19:E$19)*C25</f>
        <v>216.60120000000001</v>
      </c>
      <c r="F25" s="183">
        <f>F$18*C25</f>
        <v>0</v>
      </c>
      <c r="G25" s="136"/>
      <c r="H25" s="133"/>
      <c r="I25" s="339"/>
      <c r="J25" s="133"/>
      <c r="K25" s="133"/>
      <c r="L25" s="133"/>
      <c r="M25" s="362"/>
      <c r="N25" s="362"/>
      <c r="O25" s="362"/>
      <c r="P25" s="362"/>
      <c r="Q25" s="133"/>
    </row>
    <row r="26" spans="1:18" ht="15">
      <c r="B26" s="119" t="s">
        <v>132</v>
      </c>
      <c r="C26" s="156">
        <v>0.02</v>
      </c>
      <c r="D26" s="183">
        <f>SUM(E26:F26)</f>
        <v>866.40480000000002</v>
      </c>
      <c r="E26" s="183">
        <f>SUM(E$16:E$17,E$19:E$19)*C26</f>
        <v>866.40480000000002</v>
      </c>
      <c r="F26" s="183">
        <f>F$18*C26</f>
        <v>0</v>
      </c>
      <c r="G26" s="136"/>
      <c r="H26" s="133"/>
      <c r="I26" s="378"/>
      <c r="J26" s="133"/>
      <c r="K26" s="133"/>
      <c r="L26" s="133"/>
      <c r="M26" s="362"/>
      <c r="N26" s="362"/>
      <c r="O26" s="362"/>
      <c r="P26" s="362"/>
      <c r="Q26" s="133"/>
    </row>
    <row r="27" spans="1:18" ht="14">
      <c r="B27" s="159" t="s">
        <v>133</v>
      </c>
      <c r="C27" s="160">
        <f>SUM(C23:C26)</f>
        <v>0.10150000000000001</v>
      </c>
      <c r="D27" s="411">
        <f t="shared" ref="D27:F27" si="5">SUM(D23:D26)</f>
        <v>4397.0043599999999</v>
      </c>
      <c r="E27" s="411">
        <f t="shared" si="5"/>
        <v>4397.0043599999999</v>
      </c>
      <c r="F27" s="411">
        <f t="shared" si="5"/>
        <v>0</v>
      </c>
      <c r="G27" s="141"/>
      <c r="H27" s="293">
        <f>E27/A11</f>
        <v>732.83406000000002</v>
      </c>
      <c r="I27" s="379">
        <f>SUM((F27*0.75))</f>
        <v>0</v>
      </c>
      <c r="J27" s="380">
        <f>SUM((E27/A11))</f>
        <v>732.83406000000002</v>
      </c>
      <c r="K27" s="183"/>
    </row>
    <row r="28" spans="1:18">
      <c r="B28" s="119"/>
      <c r="D28" s="115">
        <f>D27/D47</f>
        <v>5.6932658207710783E-2</v>
      </c>
      <c r="E28" s="155"/>
      <c r="F28" s="120"/>
      <c r="G28" s="157"/>
      <c r="H28" s="379"/>
      <c r="I28" s="379">
        <f>SUM(F27*0.25)</f>
        <v>0</v>
      </c>
      <c r="J28" s="381">
        <f>(F27*0.25/(SUM(A6:A7)*A7))</f>
        <v>0</v>
      </c>
      <c r="K28" s="139"/>
    </row>
    <row r="29" spans="1:18" ht="14">
      <c r="B29" s="140" t="s">
        <v>134</v>
      </c>
      <c r="C29" s="161" t="s">
        <v>204</v>
      </c>
      <c r="F29" s="169"/>
      <c r="G29" s="155"/>
      <c r="H29" s="136"/>
    </row>
    <row r="30" spans="1:18" ht="14">
      <c r="B30" s="119" t="s">
        <v>205</v>
      </c>
      <c r="C30" s="161">
        <f>IF(SickDaysFCC&gt;0,(SickDaysFCC*(C18/2080)*10),0)</f>
        <v>1500</v>
      </c>
      <c r="D30" s="183">
        <f>SUM(E30:F30)</f>
        <v>1508.6538461538462</v>
      </c>
      <c r="E30" s="183">
        <f>SUM(A16:A17,A19:A19)*C30</f>
        <v>1508.6538461538462</v>
      </c>
      <c r="F30" s="169">
        <f>A$18*C30</f>
        <v>0</v>
      </c>
      <c r="G30" s="155"/>
      <c r="H30" s="136"/>
    </row>
    <row r="31" spans="1:18" ht="14">
      <c r="B31" s="119" t="s">
        <v>206</v>
      </c>
      <c r="C31" s="161">
        <f>IF(PaidLeaveFCC&gt;0,(PaidLeaveFCC*(C17/2080)*10),0)</f>
        <v>1500</v>
      </c>
      <c r="D31" s="376">
        <f>SUM(E31:F31)</f>
        <v>1508.6538461538462</v>
      </c>
      <c r="E31" s="161">
        <f>SUM(A16:A17,A19:A19)*C31</f>
        <v>1508.6538461538462</v>
      </c>
      <c r="F31" s="169">
        <f>A$18*C31</f>
        <v>0</v>
      </c>
      <c r="G31" s="155"/>
      <c r="H31" s="136"/>
    </row>
    <row r="32" spans="1:18" ht="14">
      <c r="B32" s="162" t="s">
        <v>52</v>
      </c>
      <c r="C32" s="155">
        <f>IF(HealthInsFCC="Yes",H32, "0")</f>
        <v>5864</v>
      </c>
      <c r="D32" s="376">
        <f>SUM(E32:F32)</f>
        <v>5864</v>
      </c>
      <c r="E32" s="155">
        <f>A20*C32</f>
        <v>5864</v>
      </c>
      <c r="F32" s="286">
        <f>A$18*C32</f>
        <v>0</v>
      </c>
      <c r="G32" s="155"/>
      <c r="H32" s="186">
        <f>SUM(Addl_benefits_per_staff*M14,Addl_benefits_per_staff)</f>
        <v>5864</v>
      </c>
    </row>
    <row r="33" spans="2:11">
      <c r="B33" s="117" t="s">
        <v>186</v>
      </c>
      <c r="C33" s="163"/>
      <c r="D33" s="141">
        <f>SUM(E33:F33)</f>
        <v>8881.3076923076915</v>
      </c>
      <c r="E33" s="141">
        <f>SUM(E30:E32)</f>
        <v>8881.3076923076915</v>
      </c>
      <c r="F33" s="141">
        <f>SUM(F30:F32)</f>
        <v>0</v>
      </c>
      <c r="G33" s="141"/>
      <c r="H33" s="136"/>
      <c r="I33" s="357"/>
      <c r="J33" s="183"/>
      <c r="K33" s="183"/>
    </row>
    <row r="34" spans="2:11">
      <c r="B34" s="162"/>
      <c r="C34" s="163"/>
      <c r="D34" s="155"/>
      <c r="E34" s="155"/>
      <c r="F34" s="158"/>
      <c r="G34" s="164"/>
      <c r="H34" s="139"/>
      <c r="I34" s="139"/>
    </row>
    <row r="35" spans="2:11">
      <c r="B35" s="117" t="s">
        <v>207</v>
      </c>
      <c r="C35" s="120"/>
      <c r="D35" s="141">
        <f>SUM(E35:F35)</f>
        <v>56598.552052307685</v>
      </c>
      <c r="E35" s="141">
        <f>E16+E17+E27+E33+E19</f>
        <v>56598.552052307685</v>
      </c>
      <c r="F35" s="141">
        <f>F18+F27+F33+F34</f>
        <v>0</v>
      </c>
      <c r="G35" s="141"/>
    </row>
    <row r="36" spans="2:11">
      <c r="B36" s="119"/>
      <c r="D36" s="169"/>
      <c r="E36" s="155"/>
    </row>
    <row r="37" spans="2:11" ht="35" thickBot="1">
      <c r="B37" s="165" t="s">
        <v>208</v>
      </c>
      <c r="C37" s="166"/>
      <c r="D37" s="147" t="s">
        <v>97</v>
      </c>
      <c r="E37" s="334"/>
      <c r="F37" s="334"/>
      <c r="G37" s="147"/>
    </row>
    <row r="38" spans="2:11" ht="14">
      <c r="B38" s="119" t="s">
        <v>209</v>
      </c>
      <c r="E38" s="155"/>
      <c r="F38" s="431">
        <v>0</v>
      </c>
      <c r="G38" s="115" t="s">
        <v>424</v>
      </c>
    </row>
    <row r="39" spans="2:11" ht="14">
      <c r="B39" s="119" t="s">
        <v>210</v>
      </c>
      <c r="D39" s="155">
        <f>SUM((QualityHomeProfile!F38*Nonpersonnel!K38),Nonpersonnel!K38)*A11</f>
        <v>3861.5735199999999</v>
      </c>
      <c r="E39" s="136"/>
      <c r="F39" s="136"/>
      <c r="G39" s="136"/>
      <c r="I39" s="136"/>
    </row>
    <row r="40" spans="2:11" ht="14">
      <c r="B40" s="119" t="s">
        <v>211</v>
      </c>
      <c r="D40" s="155">
        <f>SUM((QualityHomeProfile!F38*Nonpersonnel!K40),Nonpersonnel!K40)*A11</f>
        <v>7192.9223463999997</v>
      </c>
      <c r="E40" s="136"/>
      <c r="F40" s="136"/>
      <c r="G40" s="136"/>
      <c r="I40" s="183"/>
    </row>
    <row r="41" spans="2:11" ht="14">
      <c r="B41" s="119" t="s">
        <v>212</v>
      </c>
      <c r="D41" s="155">
        <f>IF('VariablesINPUT-FCC'!F2="COVID",(Nonpersonnel!J48+Nonpersonnel!J49),0)*12</f>
        <v>0</v>
      </c>
      <c r="E41" s="136"/>
      <c r="F41" s="136"/>
      <c r="I41" s="155"/>
    </row>
    <row r="42" spans="2:11" ht="14">
      <c r="B42" s="294" t="s">
        <v>141</v>
      </c>
      <c r="C42" s="167"/>
      <c r="D42" s="155">
        <f>SUM((QualityHomeProfile!F38*Nonpersonnel!M39),Nonpersonnel!M39)</f>
        <v>5900.9250000000002</v>
      </c>
      <c r="E42" s="136"/>
      <c r="F42" s="136"/>
      <c r="G42" s="136"/>
      <c r="I42" s="155"/>
    </row>
    <row r="43" spans="2:11">
      <c r="B43" s="119"/>
      <c r="C43" s="117" t="s">
        <v>213</v>
      </c>
      <c r="D43" s="168">
        <f>SUM(D39:D42)</f>
        <v>16955.4208664</v>
      </c>
      <c r="E43" s="168"/>
    </row>
    <row r="44" spans="2:11" ht="14">
      <c r="B44" s="119" t="s">
        <v>147</v>
      </c>
      <c r="C44" s="287">
        <v>0.05</v>
      </c>
      <c r="D44" s="286">
        <f>SUM(D43,E35)*C44</f>
        <v>3677.6986459353848</v>
      </c>
      <c r="E44" s="136"/>
      <c r="F44" s="136"/>
      <c r="H44" s="136"/>
    </row>
    <row r="45" spans="2:11">
      <c r="B45" s="119"/>
      <c r="C45" s="345" t="s">
        <v>214</v>
      </c>
      <c r="D45" s="288">
        <f>SUM(D43:D44)</f>
        <v>20633.119512335383</v>
      </c>
      <c r="E45" s="168"/>
      <c r="F45" s="394">
        <f>D43/D47</f>
        <v>0.21953973703920518</v>
      </c>
      <c r="G45" s="118"/>
      <c r="H45" s="347"/>
    </row>
    <row r="46" spans="2:11">
      <c r="B46" s="119"/>
      <c r="C46" s="335"/>
      <c r="D46" s="346">
        <f>D45/A11</f>
        <v>3438.853252055897</v>
      </c>
      <c r="E46" s="347"/>
      <c r="F46" s="395"/>
      <c r="G46" s="347"/>
      <c r="H46" s="347"/>
    </row>
    <row r="47" spans="2:11">
      <c r="B47" s="153"/>
      <c r="C47" s="397" t="s">
        <v>215</v>
      </c>
      <c r="D47" s="288">
        <f>D35+D45</f>
        <v>77231.671564643068</v>
      </c>
      <c r="E47" s="168"/>
      <c r="F47" s="345"/>
      <c r="H47" s="377"/>
      <c r="I47" s="136"/>
    </row>
    <row r="48" spans="2:11" ht="14">
      <c r="B48" s="119" t="s">
        <v>21</v>
      </c>
      <c r="C48" s="287">
        <v>0.08</v>
      </c>
      <c r="D48" s="286">
        <f>IF('VariablesINPUT-FCC'!C15='VariablesINPUT-FCC'!F15,C48*D58,0)</f>
        <v>2795.0176000000001</v>
      </c>
      <c r="E48" s="136"/>
      <c r="F48" s="139"/>
    </row>
    <row r="49" spans="1:16">
      <c r="B49" s="603" t="s">
        <v>216</v>
      </c>
      <c r="C49" s="603"/>
      <c r="D49" s="141">
        <f>SUM(D47:D48)</f>
        <v>80026.689164643074</v>
      </c>
      <c r="E49" s="157"/>
      <c r="F49" s="396">
        <f>D35/D47</f>
        <v>0.73284121534174718</v>
      </c>
    </row>
    <row r="50" spans="1:16">
      <c r="B50" s="119"/>
      <c r="C50" s="118" t="s">
        <v>217</v>
      </c>
      <c r="D50" s="347">
        <f>D49/A11</f>
        <v>13337.781527440513</v>
      </c>
      <c r="E50" s="348"/>
      <c r="F50" s="347"/>
      <c r="G50" s="347"/>
      <c r="H50" s="349"/>
      <c r="I50" s="136"/>
    </row>
    <row r="51" spans="1:16">
      <c r="A51" s="115" t="s">
        <v>152</v>
      </c>
      <c r="B51" s="169"/>
      <c r="C51" s="136"/>
      <c r="H51" s="155"/>
      <c r="M51"/>
      <c r="N51"/>
      <c r="O51"/>
      <c r="P51"/>
    </row>
    <row r="52" spans="1:16" customFormat="1" ht="14">
      <c r="A52" s="246">
        <f>SUM(A55:A56)</f>
        <v>6</v>
      </c>
      <c r="B52" s="366" t="s">
        <v>153</v>
      </c>
      <c r="C52" s="367" t="s">
        <v>154</v>
      </c>
      <c r="D52" s="365" t="s">
        <v>154</v>
      </c>
      <c r="E52" s="365" t="s">
        <v>155</v>
      </c>
      <c r="F52" s="364"/>
      <c r="G52" s="364"/>
      <c r="H52" s="364"/>
      <c r="I52" s="364"/>
      <c r="J52" s="29"/>
    </row>
    <row r="53" spans="1:16" customFormat="1">
      <c r="A53" s="77"/>
      <c r="B53" s="245" t="s">
        <v>64</v>
      </c>
      <c r="D53" s="25"/>
      <c r="E53" s="29"/>
      <c r="I53" s="11"/>
      <c r="J53" s="29"/>
    </row>
    <row r="54" spans="1:16" customFormat="1">
      <c r="A54" s="272">
        <f>'VariablesINPUT-FCC'!D45</f>
        <v>4</v>
      </c>
      <c r="B54" s="77" t="s">
        <v>156</v>
      </c>
      <c r="D54" s="25">
        <f>SUM(('VariablesINPUT-FCC'!C44*'Fed CACFP'!F14),('VariablesINPUT-FCC'!D44*'Fed CACFP'!F15))*52</f>
        <v>7124</v>
      </c>
      <c r="E54" s="29"/>
      <c r="F54" s="48" t="s">
        <v>157</v>
      </c>
      <c r="G54" s="48" t="s">
        <v>158</v>
      </c>
      <c r="H54" s="48" t="s">
        <v>159</v>
      </c>
      <c r="I54" s="260" t="s">
        <v>160</v>
      </c>
      <c r="J54" s="48" t="s">
        <v>17</v>
      </c>
    </row>
    <row r="55" spans="1:16" customFormat="1">
      <c r="A55" s="272">
        <f>'VariablesINPUT-FCC'!D44</f>
        <v>2</v>
      </c>
      <c r="B55" s="77" t="s">
        <v>161</v>
      </c>
      <c r="D55" s="25">
        <f>SUM(F55:J55)*12</f>
        <v>17313.72</v>
      </c>
      <c r="E55" s="29"/>
      <c r="F55" s="371">
        <f>IF(AND(C52="Metro",'VariablesINPUT-FCC'!E12="Cuidado infantil familiar en el hogar",D1="Licensing/Star 2"),('VariablesINPUT-FCC'!D39*'Tuition Rates'!C6),
IF(AND(C52="Metro",'VariablesINPUT-FCC'!E12="Cuidado infantil familiar en el hogar",D1="Star 2+/3"),('VariablesINPUT-FCC'!D39*'Tuition Rates'!C18),
IF(AND(C52="Metro",'VariablesINPUT-FCC'!E12="Cuidado infantil familiar en el hogar",D1="Star 4"),('VariablesINPUT-FCC'!D39*'Tuition Rates'!C24),
IF(AND(C52="Metro",'VariablesINPUT-FCC'!E12="Cuidado infantil familiar en el hogar",D1="Star 5"),('VariablesINPUT-FCC'!D39*'Tuition Rates'!C30),
IF(AND(C52="Rural",'VariablesINPUT-FCC'!E12="Cuidado infantil familiar en el hogar",D1="Licensing/Star 2"),('VariablesINPUT-FCC'!D39*'Tuition Rates'!C37),
IF(AND(C52="Rural",'VariablesINPUT-FCC'!E12="Cuidado infantil familiar en el hogar",D1="Star 2+/3"),('VariablesINPUT-FCC'!D39*'Tuition Rates'!C49),
IF(AND(C52="Rural",'VariablesINPUT-FCC'!E12="Cuidado infantil familiar en el hogar",D1="Star 4"),('VariablesINPUT-FCC'!D39*'Tuition Rates'!C55),
IF(AND(C52="Rural",'VariablesINPUT-FCC'!E12="Cuidado infantil familiar en el hogar",D1="Star 5"),('VariablesINPUT-FCC'!D39*'Tuition Rates'!C61),
IF(AND(C52="Metro",'VariablesINPUT-FCC'!E12="Casa de grupo",D1="Licensing/Star 2"),('VariablesINPUT-FCC'!D39*'Tuition Rates'!C5),
IF(AND(C52="Metro",'VariablesINPUT-FCC'!E12="Casa de grupo",D1="Star 2+/3"),('VariablesINPUT-FCC'!D39*'Tuition Rates'!C17),
IF(AND(C52="Metro",'VariablesINPUT-FCC'!E12="Casa de grupo",D1="Star 4"),('VariablesINPUT-FCC'!D39*'Tuition Rates'!C23),
IF(AND(C52="Metro",'VariablesINPUT-FCC'!E12="Casa de grupo",D1="Star 5"),('VariablesINPUT-FCC'!D39*'Tuition Rates'!C29),
IF(AND(C52="Rural",'VariablesINPUT-FCC'!E12="Casa de grupo",D1="Licensing/Star 2"),('VariablesINPUT-FCC'!D39*'Tuition Rates'!C36),
IF(AND(C52="Rural",'VariablesINPUT-FCC'!E12="Casa de grupo",D1="Star 2+/3"),('VariablesINPUT-FCC'!D39*'Tuition Rates'!C48),
IF(AND(C52="Rural",'VariablesINPUT-FCC'!E12="Casa de grupo",D1="Star 4"),('VariablesINPUT-FCC'!D39*'Tuition Rates'!C54),
IF(AND(C52="Rural",'VariablesINPUT-FCC'!E12="Casa de grupo",D1="Star 5"),('VariablesINPUT-FCC'!D39*'Tuition Rates'!C60),0))))))))))))))))</f>
        <v>719.17499999999995</v>
      </c>
      <c r="G55" s="371">
        <f>IF(AND(C52="Metro",'VariablesINPUT-FCC'!$E12="Cuidado infantil familiar en el hogar",$D1="Licensing/Star 2"),('VariablesINPUT-FCC'!$D40*'Tuition Rates'!D6),
IF(AND(C52="Metro",'VariablesINPUT-FCC'!$E12="Cuidado infantil familiar en el hogar",$D1="Star 2+/3"),('VariablesINPUT-FCC'!$D40*'Tuition Rates'!D18),
IF(AND(C52="Metro",'VariablesINPUT-FCC'!$E12="Cuidado infantil familiar en el hogar",$D1="Star 4"),('VariablesINPUT-FCC'!$D40*'Tuition Rates'!D24),
IF(AND(C52="Metro",'VariablesINPUT-FCC'!$E12="Cuidado infantil familiar en el hogar",$D1="Star 5"),('VariablesINPUT-FCC'!$D40*'Tuition Rates'!D30),
IF(AND(C52="Rural",'VariablesINPUT-FCC'!$E12="Cuidado infantil familiar en el hogar",$D1="Licensing/Star 2"),('VariablesINPUT-FCC'!$D40*'Tuition Rates'!D37),
IF(AND(C52="Rural",'VariablesINPUT-FCC'!$E12="Cuidado infantil familiar en el hogar",$D1="Star 2+/3"),('VariablesINPUT-FCC'!$D40*'Tuition Rates'!D49),
IF(AND(C52="Rural",'VariablesINPUT-FCC'!$E12="Cuidado infantil familiar en el hogar",$D1="Star 4"),('VariablesINPUT-FCC'!$D40*'Tuition Rates'!D55),
IF(AND(C52="Rural",'VariablesINPUT-FCC'!$E12="Cuidado infantil familiar en el hogar",$D1="Star 5"),('VariablesINPUT-FCC'!$D40*'Tuition Rates'!D61),
IF(AND(C52="Metro",'VariablesINPUT-FCC'!$E12="Casa de grupo",$D1="Licensing/Star 2"),('VariablesINPUT-FCC'!$D40*'Tuition Rates'!D5),
IF(AND(C52="Metro",'VariablesINPUT-FCC'!$E12="Casa de grupo",$D1="Star 2+/3"),('VariablesINPUT-FCC'!$D40*'Tuition Rates'!D17),
IF(AND(C52="Metro",'VariablesINPUT-FCC'!$E12="Casa de grupo",$D1="Star 4"),('VariablesINPUT-FCC'!$D40*'Tuition Rates'!D23),
IF(AND(C52="Metro",'VariablesINPUT-FCC'!$E12="Casa de grupo",$D1="Star 5"),('VariablesINPUT-FCC'!$D40*'Tuition Rates'!D29),
IF(AND(C52="Rural",'VariablesINPUT-FCC'!$E12="Casa de grupo",$D1="Licensing/Star 2"),('VariablesINPUT-FCC'!$D40*'Tuition Rates'!D36),
IF(AND(C52="Rural",'VariablesINPUT-FCC'!$E12="Casa de grupo",$D1="Star 2+/3"),('VariablesINPUT-FCC'!$D40*'Tuition Rates'!D48),
IF(AND(C52="Rural",'VariablesINPUT-FCC'!$E12="Casa de grupo",$D1="Star 4"),('VariablesINPUT-FCC'!$D40*'Tuition Rates'!D54),
IF(AND(C52="Rural",'VariablesINPUT-FCC'!$E12="Casa de grupo",$D1="Star 5"),('VariablesINPUT-FCC'!$D40*'Tuition Rates'!D60),0))))))))))))))))</f>
        <v>0</v>
      </c>
      <c r="H55" s="371">
        <f>IF(AND(C52="Metro",'VariablesINPUT-FCC'!$E12="Cuidado infantil familiar en el hogar",$D1="Licensing/Star 2"),('VariablesINPUT-FCC'!$D41*'Tuition Rates'!E6),
IF(AND(C52="Metro",'VariablesINPUT-FCC'!$E12="Cuidado infantil familiar en el hogar",$D1="Star 2+/3"),('VariablesINPUT-FCC'!$D41*'Tuition Rates'!E18),
IF(AND(C52="Metro",'VariablesINPUT-FCC'!$E12="Cuidado infantil familiar en el hogar",$D1="Star 4"),('VariablesINPUT-FCC'!$D41*'Tuition Rates'!E24),
IF(AND(C52="Metro",'VariablesINPUT-FCC'!$E12="Cuidado infantil familiar en el hogar",$D1="Star 5"),('VariablesINPUT-FCC'!$D41*'Tuition Rates'!E30),
IF(AND(C52="Rural",'VariablesINPUT-FCC'!$E12="Cuidado infantil familiar en el hogar",$D1="Licensing/Star 2"),('VariablesINPUT-FCC'!$D41*'Tuition Rates'!E37),
IF(AND(C52="Rural",'VariablesINPUT-FCC'!$E12="Cuidado infantil familiar en el hogar",$D1="Star 2+/3"),('VariablesINPUT-FCC'!$D41*'Tuition Rates'!E49),
IF(AND(C52="Rural",'VariablesINPUT-FCC'!$E12="Cuidado infantil familiar en el hogar",$D1="Star 4"),('VariablesINPUT-FCC'!$D41*'Tuition Rates'!E55),
IF(AND(C52="Rural",'VariablesINPUT-FCC'!$E12="Cuidado infantil familiar en el hogar",$D1="Star 5"),('VariablesINPUT-FCC'!$D41*'Tuition Rates'!E61),
IF(AND(C52="Metro",'VariablesINPUT-FCC'!$E12="Casa de grupo",$D1="Licensing/Star 2"),('VariablesINPUT-FCC'!$D41*'Tuition Rates'!E5),
IF(AND(C52="Metro",'VariablesINPUT-FCC'!$E12="Casa de grupo",$D1="Star 2+/3"),('VariablesINPUT-FCC'!$D41*'Tuition Rates'!E17),
IF(AND(C52="Metro",'VariablesINPUT-FCC'!$E12="Casa de grupo",$D1="Star 4"),('VariablesINPUT-FCC'!$D41*'Tuition Rates'!E23),
IF(AND(C52="Metro",'VariablesINPUT-FCC'!$E12="Casa de grupo",$D1="Star 5"),('VariablesINPUT-FCC'!$D41*'Tuition Rates'!E29),
IF(AND(C52="Rural",'VariablesINPUT-FCC'!$E12="Casa de grupo",$D1="Licensing/Star 2"),('VariablesINPUT-FCC'!$D41*'Tuition Rates'!E36),
IF(AND(C52="Rural",'VariablesINPUT-FCC'!$E12="Casa de grupo",$D1="Star 2+/3"),('VariablesINPUT-FCC'!$D41*'Tuition Rates'!E48),
IF(AND(C52="Rural",'VariablesINPUT-FCC'!$E12="Casa de grupo",$D1="Star 4"),('VariablesINPUT-FCC'!$D41*'Tuition Rates'!E54),
IF(AND(C52="Rural",'VariablesINPUT-FCC'!$E12="Casa de grupo",$D1="Star 5"),('VariablesINPUT-FCC'!$D41*'Tuition Rates'!E60),0))))))))))))))))</f>
        <v>0</v>
      </c>
      <c r="I55" s="371">
        <f>IF(AND(C52="Metro",'VariablesINPUT-FCC'!$E12="Cuidado infantil familiar en el hogar",$D1="Licensing/Star 2"),('VariablesINPUT-FCC'!$D42*'Tuition Rates'!F6),
IF(AND(C52="Metro",'VariablesINPUT-FCC'!$E12="Cuidado infantil familiar en el hogar",$D1="Star 2+/3"),('VariablesINPUT-FCC'!$D42*'Tuition Rates'!F18),
IF(AND(C52="Metro",'VariablesINPUT-FCC'!$E12="Cuidado infantil familiar en el hogar",$D1="Star 4"),('VariablesINPUT-FCC'!$D42*'Tuition Rates'!F24),
IF(AND(C52="Metro",'VariablesINPUT-FCC'!$E12="Cuidado infantil familiar en el hogar",$D1="Star 5"),('VariablesINPUT-FCC'!$D42*'Tuition Rates'!F30),
IF(AND(C52="Rural",'VariablesINPUT-FCC'!$E12="Cuidado infantil familiar en el hogar",$D1="Licensing/Star 2"),('VariablesINPUT-FCC'!$D42*'Tuition Rates'!F37),
IF(AND(C52="Rural",'VariablesINPUT-FCC'!$E12="Cuidado infantil familiar en el hogar",$D1="Star 2+/3"),('VariablesINPUT-FCC'!$D42*'Tuition Rates'!F49),
IF(AND(C52="Rural",'VariablesINPUT-FCC'!$E12="Cuidado infantil familiar en el hogar",$D1="Star 4"),('VariablesINPUT-FCC'!$D42*'Tuition Rates'!F55),
IF(AND(C52="Rural",'VariablesINPUT-FCC'!$E12="Cuidado infantil familiar en el hogar",$D1="Star 5"),('VariablesINPUT-FCC'!$D42*'Tuition Rates'!F61),
IF(AND(C52="Metro",'VariablesINPUT-FCC'!$E12="Casa de grupo",$D1="Licensing/Star 2"),('VariablesINPUT-FCC'!$D42*'Tuition Rates'!F5),
IF(AND(C52="Metro",'VariablesINPUT-FCC'!$E12="Casa de grupo",$D1="Star 2+/3"),('VariablesINPUT-FCC'!$D42*'Tuition Rates'!F17),
IF(AND(C52="Metro",'VariablesINPUT-FCC'!$E12="Casa de grupo",$D1="Star 4"),('VariablesINPUT-FCC'!$D42*'Tuition Rates'!F23),
IF(AND(C52="Metro",'VariablesINPUT-FCC'!$E12="Casa de grupo",$D1="Star 5"),('VariablesINPUT-FCC'!$D42*'Tuition Rates'!F29),
IF(AND(C52="Rural",'VariablesINPUT-FCC'!$E12="Casa de grupo",$D1="Licensing/Star 2"),('VariablesINPUT-FCC'!$D42*'Tuition Rates'!F36),
IF(AND(C52="Rural",'VariablesINPUT-FCC'!$E12="Casa de grupo",$D1="Star 2+/3"),('VariablesINPUT-FCC'!$D42*'Tuition Rates'!F48),
IF(AND(C52="Rural",'VariablesINPUT-FCC'!$E12="Casa de grupo",$D1="Star 4"),('VariablesINPUT-FCC'!$D42*'Tuition Rates'!F54),
IF(AND(C52="Rural",'VariablesINPUT-FCC'!$E12="Casa de grupo",$D1="Star 5"),('VariablesINPUT-FCC'!$D42*'Tuition Rates'!F60),0))))))))))))))))</f>
        <v>723.63499999999999</v>
      </c>
      <c r="J55" s="371">
        <f>IF(AND(C52="Metro",'VariablesINPUT-FCC'!$E12="Cuidado infantil familiar en el hogar",$D1="Licensing/Star 2"),('VariablesINPUT-FCC'!$D43*'Tuition Rates'!G6),
IF(AND(C52="Metro",'VariablesINPUT-FCC'!$E12="Cuidado infantil familiar en el hogar",$D1="Star 2+/3"),('VariablesINPUT-FCC'!$D43*'Tuition Rates'!G18),
IF(AND(C52="Metro",'VariablesINPUT-FCC'!$E12="Cuidado infantil familiar en el hogar",$D1="Star 4"),('VariablesINPUT-FCC'!$D43*'Tuition Rates'!G24),
IF(AND(C52="Metro",'VariablesINPUT-FCC'!$E12="Cuidado infantil familiar en el hogar",$D1="Star 5"),('VariablesINPUT-FCC'!$D43*'Tuition Rates'!G30),
IF(AND(C52="Rural",'VariablesINPUT-FCC'!$E12="Cuidado infantil familiar en el hogar",$D1="Licensing/Star 2"),('VariablesINPUT-FCC'!$D43*'Tuition Rates'!G37),
IF(AND(C52="Rural",'VariablesINPUT-FCC'!$E12="Cuidado infantil familiar en el hogar",$D1="Star 2+/3"),('VariablesINPUT-FCC'!$D43*'Tuition Rates'!G49),
IF(AND(C52="Rural",'VariablesINPUT-FCC'!$E12="Cuidado infantil familiar en el hogar",$D1="Star 4"),('VariablesINPUT-FCC'!$D43*'Tuition Rates'!G55),
IF(AND(C52="Rural",'VariablesINPUT-FCC'!$E12="Cuidado infantil familiar en el hogar",$D1="Star 5"),('VariablesINPUT-FCC'!$D43*'Tuition Rates'!G61),
IF(AND(C52="Metro",'VariablesINPUT-FCC'!$E12="Casa de grupo",$D1="Licensing/Star 2"),('VariablesINPUT-FCC'!$D43*'Tuition Rates'!G5),
IF(AND(C52="Metro",'VariablesINPUT-FCC'!$E12="Casa de grupo",$D1="Star 2+/3"),('VariablesINPUT-FCC'!$D43*'Tuition Rates'!G17),
IF(AND(C52="Metro",'VariablesINPUT-FCC'!$E12="Casa de grupo",$D1="Star 4"),('VariablesINPUT-FCC'!$D43*'Tuition Rates'!G23),
IF(AND(C52="Metro",'VariablesINPUT-FCC'!$E12="Casa de grupo",$D1="Star 5"),('VariablesINPUT-FCC'!$D43*'Tuition Rates'!G29),
IF(AND(C52="Rural",'VariablesINPUT-FCC'!$E12="Casa de grupo",$D1="Licensing/Star 2"),('VariablesINPUT-FCC'!$D43*'Tuition Rates'!G36),
IF(AND(C52="Rural",'VariablesINPUT-FCC'!$E12="Casa de grupoe",$D1="Star 2+/3"),('VariablesINPUT-FCC'!$D43*'Tuition Rates'!G48),
IF(AND(C52="Rural",'VariablesINPUT-FCC'!$E12="Casa de grupo",$D1="Star 4"),('VariablesINPUT-FCC'!$D43*'Tuition Rates'!G54),
IF(AND(C52="Rural",'VariablesINPUT-FCC'!$E12="Casa de grupo",$D1="Star 5"),('VariablesINPUT-FCC'!$D43*'Tuition Rates'!G60),"ERROR"))))))))))))))))</f>
        <v>0</v>
      </c>
    </row>
    <row r="56" spans="1:16" customFormat="1">
      <c r="A56" s="272">
        <f>'VariablesINPUT-FCC'!C44</f>
        <v>4</v>
      </c>
      <c r="B56" s="77" t="s">
        <v>66</v>
      </c>
      <c r="D56" s="25">
        <f>SUM(F56:J56)*12</f>
        <v>10500</v>
      </c>
      <c r="E56" s="29"/>
      <c r="F56" s="370">
        <f>IF(AND('VariablesINPUT-FCC'!$E12="Cuidado infantil familiar en el hogar",D1="Licensing/Star 2"),('VariablesINPUT-FCC'!C$39*'Subsidy rates'!$B11),
IF(AND('VariablesINPUT-FCC'!$E12="Cuidado infantil familiar en el hogar",D1="Star 2+/3"),('VariablesINPUT-FCC'!C$39*'Subsidy rates'!$C11),
IF(AND('VariablesINPUT-FCC'!$E12="Cuidado infantil familiar en el hogar",D1="Star 4"),('VariablesINPUT-FCC'!C$39*'Subsidy rates'!$D11),
IF(AND('VariablesINPUT-FCC'!$E12="Cuidado infantil familiar en el hogar",D1="Star 5"),('VariablesINPUT-FCC'!C$39*'Subsidy rates'!$E11),
IF(AND('VariablesINPUT-FCC'!$E12="Casa de grupo",D1="Licensing/Star 2"),('VariablesINPUT-FCC'!C$39*'Subsidy rates'!$B20),
IF(AND('VariablesINPUT-FCC'!$E12="Casa de grupo",D1="Star 2+/3"),('VariablesINPUT-FCC'!C$39*'Subsidy rates'!$C20),
IF(AND('VariablesINPUT-FCC'!$E12="Casa de grupo",D1="Star 4"),('VariablesINPUT-FCC'!C$39*'Subsidy rates'!$D20),
IF(AND('VariablesINPUT-FCC'!$E12="Casa de grupo",D1="Star 5"),('VariablesINPUT-FCC'!C$39*'Subsidy rates'!$E20),
0))))))))</f>
        <v>875</v>
      </c>
      <c r="G56" s="370">
        <f>IF(AND('VariablesINPUT-FCC'!$E12="Cuidado infantil familiar en el hogar",'VariablesINPUT-FCC'!$F2="Licensing/Star 2"),('VariablesINPUT-FCC'!$C$39*'Subsidy rates'!$B12),
IF(AND('VariablesINPUT-FCC'!$E12="Cuidado infantil familiar en el hogar",'VariablesINPUT-FCC'!$F2="Star 2+/3"),('VariablesINPUT-FCC'!$C$39*'Subsidy rates'!$C12),
IF(AND('VariablesINPUT-FCC'!$E12="Cuidado infantil familiar en el hogar",'VariablesINPUT-FCC'!$F2="Star 4"),('VariablesINPUT-FCC'!$C$39*'Subsidy rates'!$D12),
IF(AND('VariablesINPUT-FCC'!$E12="Cuidado infantil familiar en el hogar",'VariablesINPUT-FCC'!$F2="Star 5"),('VariablesINPUT-FCC'!$C$39*'Subsidy rates'!$E12),
IF(AND('VariablesINPUT-FCC'!$E12="Casa de grupo",D1="Licensing/Star 2"),('VariablesINPUT-FCC'!$C$39*'Subsidy rates'!$B21),
IF(AND('VariablesINPUT-FCC'!$E12="Casa de grupo",D1="Star 2+/3"),('VariablesINPUT-FCC'!$C$39*'Subsidy rates'!$C21),
IF(AND('VariablesINPUT-FCC'!$E12="Casa de grupo",D1="Star 4"),('VariablesINPUT-FCC'!$C$39*'Subsidy rates'!$D21),
IF(AND('VariablesINPUT-FCC'!$E12="Casa de grupo",D1="Star 5"),('VariablesINPUT-FCC'!$C$39*'Subsidy rates'!$E21),
0))))))))</f>
        <v>0</v>
      </c>
      <c r="H56" s="370">
        <f>IF(AND('VariablesINPUT-FCC'!$E12="Cuidado infantil familiar en el hogar",'VariablesINPUT-FCC'!$F2="Licensing/Star 2"),('VariablesINPUT-FCC'!$C$40*'Subsidy rates'!$B13),
IF(AND('VariablesINPUT-FCC'!$E12="Cuidado infantil familiar en el hogar",'VariablesINPUT-FCC'!$F2="Star 2+/3"),('VariablesINPUT-FCC'!$C$40*'Subsidy rates'!$C13),
IF(AND('VariablesINPUT-FCC'!$E12="Cuidado infantil familiar en el hogar",'VariablesINPUT-FCC'!$F2="Star 4"),('VariablesINPUT-FCC'!$C$40*'Subsidy rates'!$D13),
IF(AND('VariablesINPUT-FCC'!$E12="Cuidado infantil familiar en el hogar",'VariablesINPUT-FCC'!$F2="Star 5"),('VariablesINPUT-FCC'!$C$40*'Subsidy rates'!$E13),
IF(AND('VariablesINPUT-FCC'!$E12="Casa de grupo",D1="Licensing/Star 2"),('VariablesINPUT-FCC'!$C$40*'Subsidy rates'!$B22),
IF(AND('VariablesINPUT-FCC'!$E12="Casa de grupo",D1="Star 2+/3"),('VariablesINPUT-FCC'!$C$40*'Subsidy rates'!$C22),
IF(AND('VariablesINPUT-FCC'!$E12="Casa de grupo",D1="Star 4"),('VariablesINPUT-FCC'!$C$40*'Subsidy rates'!$D22),
IF(AND('VariablesINPUT-FCC'!$E12="Casa de grupo",D1="Star 5"),('VariablesINPUT-FCC'!$C$40*'Subsidy rates'!$E22),
0))))))))</f>
        <v>0</v>
      </c>
      <c r="I56" s="370">
        <f>IF(AND('VariablesINPUT-FCC'!$E12="Cuidado infantil familiar en el hogar",'VariablesINPUT-FCC'!$F2="Licensing/Star 2"),('VariablesINPUT-FCC'!$C$40*'Subsidy rates'!$B14),
IF(AND('VariablesINPUT-FCC'!$E12="Cuidado infantil familiar en el hogar",'VariablesINPUT-FCC'!$F2="Star 2+/3"),('VariablesINPUT-FCC'!$C$40*'Subsidy rates'!$C14),
IF(AND('VariablesINPUT-FCC'!$E12="Cuidado infantil familiar en el hogar",'VariablesINPUT-FCC'!$F2="Star 4"),('VariablesINPUT-FCC'!$C$40*'Subsidy rates'!$D14),
IF(AND('VariablesINPUT-FCC'!$E12="Cuidado infantil familiar en el hogar",'VariablesINPUT-FCC'!$F2="Star 5"),('VariablesINPUT-FCC'!$C$40*'Subsidy rates'!$E14),
IF(AND('VariablesINPUT-FCC'!$E12="Casa de grupo",D1="Licensing/Star 2"),('VariablesINPUT-FCC'!$C$40*'Subsidy rates'!$B23),
IF(AND('VariablesINPUT-FCC'!$E12="Casa de grupo",D1="Star 2+/3"),('VariablesINPUT-FCC'!$C$40*'Subsidy rates'!$C23),
IF(AND('VariablesINPUT-FCC'!$E12="Casa de grupo",D1="Star 4"),('VariablesINPUT-FCC'!$C$40*'Subsidy rates'!$D23),
IF(AND('VariablesINPUT-FCC'!$E12="Casa de grupo",D1="Star 5"),('VariablesINPUT-FCC'!$C$40*'Subsidy rates'!$E23),
0))))))))</f>
        <v>0</v>
      </c>
      <c r="J56" s="370">
        <f>IF(AND('VariablesINPUT-FCC'!$E12="Cuidado infantil familiar en el hogar",'VariablesINPUT-FCC'!$F2="Licensing/Star 2"),('VariablesINPUT-FCC'!$C$40*'Subsidy rates'!$B15),
IF(AND('VariablesINPUT-FCC'!$E12="Cuidado infantil familiar en el hogar",'VariablesINPUT-FCC'!$F2="Star 2+/3"),('VariablesINPUT-FCC'!$C$40*'Subsidy rates'!$C15),
IF(AND('VariablesINPUT-FCC'!$E12="Cuidado infantil familiar en el hogar",'VariablesINPUT-FCC'!$F2="Star 4"),('VariablesINPUT-FCC'!$C$40*'Subsidy rates'!$D15),
IF(AND('VariablesINPUT-FCC'!$E12="Cuidado infantil familiar en el hogar",'VariablesINPUT-FCC'!$F2="Star 5"),('VariablesINPUT-FCC'!$C$40*'Subsidy rates'!$E15),
IF(AND('VariablesINPUT-FCC'!$E12="Casa de grupo",D1="Licensing/Star 2"),('VariablesINPUT-FCC'!$C$40*'Subsidy rates'!$B24),
IF(AND('VariablesINPUT-FCC'!$E12="Casa de grupo",D1="Star 2+/3"),('VariablesINPUT-FCC'!$C$40*'Subsidy rates'!$C24),
IF(AND('VariablesINPUT-FCC'!$E12="Casa de grupo",D1="Star 4"),('VariablesINPUT-FCC'!$C$40*'Subsidy rates'!$D24),
IF(AND('VariablesINPUT-FCC'!$E12="Casa de grupo",D1="Star 5"),('VariablesINPUT-FCC'!$C$40*'Subsidy rates'!$E24),
0))))))))</f>
        <v>0</v>
      </c>
      <c r="K56" s="5"/>
    </row>
    <row r="57" spans="1:16" customFormat="1">
      <c r="A57" s="77"/>
      <c r="B57" s="77" t="s">
        <v>162</v>
      </c>
      <c r="D57" s="271"/>
      <c r="E57" s="29"/>
    </row>
    <row r="58" spans="1:16" customFormat="1">
      <c r="A58" s="77"/>
      <c r="B58" s="270" t="s">
        <v>163</v>
      </c>
      <c r="D58" s="65">
        <f>SUM(D54:D57)</f>
        <v>34937.72</v>
      </c>
      <c r="E58" s="30" t="s">
        <v>164</v>
      </c>
    </row>
    <row r="59" spans="1:16" customFormat="1">
      <c r="K59" s="2"/>
    </row>
    <row r="60" spans="1:16" customFormat="1">
      <c r="B60" s="275" t="s">
        <v>165</v>
      </c>
      <c r="E60" s="1"/>
    </row>
    <row r="61" spans="1:16" customFormat="1">
      <c r="B61" s="34" t="s">
        <v>166</v>
      </c>
      <c r="C61" s="273">
        <f>1-EnrollEffic</f>
        <v>0.15000000000000002</v>
      </c>
      <c r="D61" s="31">
        <f>C61*D58</f>
        <v>5240.6580000000013</v>
      </c>
    </row>
    <row r="62" spans="1:16" customFormat="1">
      <c r="B62" s="34" t="s">
        <v>167</v>
      </c>
      <c r="C62" s="273">
        <f>BadDebt</f>
        <v>0.03</v>
      </c>
      <c r="D62" s="274">
        <f>C62*D58</f>
        <v>1048.1315999999999</v>
      </c>
      <c r="E62" s="25">
        <f>SUM(D61:D62)</f>
        <v>6288.789600000001</v>
      </c>
      <c r="F62" s="136">
        <f>SUM(E62-(E62*2))</f>
        <v>-6288.789600000001</v>
      </c>
    </row>
    <row r="63" spans="1:16" customFormat="1">
      <c r="D63" s="65">
        <f>D58-D61-D62</f>
        <v>28648.930399999997</v>
      </c>
      <c r="E63" s="30" t="s">
        <v>218</v>
      </c>
      <c r="F63" s="115"/>
    </row>
    <row r="64" spans="1:16" customFormat="1">
      <c r="B64" s="77" t="s">
        <v>168</v>
      </c>
      <c r="D64" s="284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169</v>
      </c>
      <c r="D65" s="65">
        <f>SUM(D63,D64)</f>
        <v>28648.930399999997</v>
      </c>
      <c r="E65" s="30"/>
      <c r="M65" s="115"/>
      <c r="N65" s="115"/>
      <c r="O65" s="115"/>
      <c r="P65" s="115"/>
    </row>
    <row r="66" spans="1:16">
      <c r="A66" s="373"/>
      <c r="B66" s="276" t="s">
        <v>170</v>
      </c>
      <c r="C66" s="276"/>
      <c r="D66" s="277">
        <f>D65-D49</f>
        <v>-51377.758764643077</v>
      </c>
      <c r="E66" s="278">
        <f>D66/D49</f>
        <v>-0.64200780140911418</v>
      </c>
      <c r="F66" s="276" t="s">
        <v>137</v>
      </c>
    </row>
    <row r="67" spans="1:16">
      <c r="A67" s="373"/>
    </row>
    <row r="68" spans="1:16">
      <c r="A68" s="373"/>
    </row>
    <row r="69" spans="1:16">
      <c r="A69" s="373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219</v>
      </c>
    </row>
    <row r="2" spans="1:6">
      <c r="B2" s="29" t="s">
        <v>2</v>
      </c>
      <c r="C2" s="29" t="s">
        <v>1</v>
      </c>
      <c r="D2" s="29" t="s">
        <v>220</v>
      </c>
      <c r="E2" s="2" t="s">
        <v>221</v>
      </c>
      <c r="F2" s="29"/>
    </row>
    <row r="3" spans="1:6">
      <c r="A3" s="29" t="s">
        <v>222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223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189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190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5">
        <v>10</v>
      </c>
    </row>
    <row r="8" spans="1:6">
      <c r="D8" s="77"/>
      <c r="E8" s="245"/>
    </row>
    <row r="9" spans="1:6">
      <c r="A9" s="2" t="s">
        <v>224</v>
      </c>
      <c r="B9" s="29" t="s">
        <v>2</v>
      </c>
      <c r="C9" s="29" t="s">
        <v>1</v>
      </c>
      <c r="D9" s="77" t="s">
        <v>220</v>
      </c>
      <c r="E9" s="245" t="s">
        <v>221</v>
      </c>
    </row>
    <row r="10" spans="1:6">
      <c r="A10" s="29" t="s">
        <v>225</v>
      </c>
      <c r="B10" s="29">
        <v>12</v>
      </c>
      <c r="C10">
        <v>12</v>
      </c>
      <c r="D10" s="77">
        <v>10</v>
      </c>
      <c r="E10" s="245">
        <v>8</v>
      </c>
      <c r="F10" s="29"/>
    </row>
    <row r="11" spans="1:6">
      <c r="A11" s="29" t="s">
        <v>223</v>
      </c>
      <c r="B11" s="29">
        <v>20</v>
      </c>
      <c r="C11">
        <v>20</v>
      </c>
      <c r="D11" s="77">
        <v>16</v>
      </c>
      <c r="E11" s="245">
        <v>12</v>
      </c>
      <c r="F11" s="29"/>
    </row>
    <row r="12" spans="1:6">
      <c r="A12" s="29" t="s">
        <v>189</v>
      </c>
      <c r="B12" s="29">
        <v>24</v>
      </c>
      <c r="C12">
        <v>24</v>
      </c>
      <c r="D12" s="77">
        <v>20</v>
      </c>
      <c r="E12" s="245">
        <v>18</v>
      </c>
      <c r="F12" s="29"/>
    </row>
    <row r="13" spans="1:6">
      <c r="A13" s="29" t="s">
        <v>190</v>
      </c>
      <c r="B13" s="29">
        <v>24</v>
      </c>
      <c r="C13">
        <v>24</v>
      </c>
      <c r="D13" s="77">
        <v>20</v>
      </c>
      <c r="E13" s="245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5">
        <v>20</v>
      </c>
      <c r="F14" s="29"/>
    </row>
    <row r="16" spans="1:6" s="113" customFormat="1">
      <c r="A16" s="113" t="s">
        <v>226</v>
      </c>
    </row>
    <row r="17" spans="1:4" ht="35" customHeight="1">
      <c r="B17" s="203" t="s">
        <v>227</v>
      </c>
      <c r="C17" s="203" t="s">
        <v>228</v>
      </c>
      <c r="D17" s="29" t="s">
        <v>229</v>
      </c>
    </row>
    <row r="18" spans="1:4">
      <c r="A18" s="29" t="s">
        <v>230</v>
      </c>
      <c r="B18">
        <v>6</v>
      </c>
      <c r="C18">
        <v>12</v>
      </c>
      <c r="D18" s="29" t="s">
        <v>231</v>
      </c>
    </row>
    <row r="19" spans="1:4">
      <c r="A19" s="29" t="s">
        <v>426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2"/>
    </row>
    <row r="32" spans="1:4" ht="24" customHeight="1">
      <c r="B32" s="3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7"/>
      <c r="B1" s="22" t="s">
        <v>232</v>
      </c>
      <c r="C1" s="306"/>
      <c r="D1" s="306"/>
      <c r="E1" s="306"/>
      <c r="G1" s="306"/>
    </row>
    <row r="2" spans="1:14" s="2" customFormat="1" ht="30" customHeight="1">
      <c r="A2" s="308"/>
      <c r="B2" s="308" t="s">
        <v>38</v>
      </c>
      <c r="C2" s="325">
        <v>1.1000000000000001</v>
      </c>
      <c r="D2" s="325">
        <v>1.2</v>
      </c>
      <c r="E2" s="324" t="s">
        <v>45</v>
      </c>
      <c r="F2" s="323" t="s">
        <v>46</v>
      </c>
      <c r="G2" s="318" t="s">
        <v>233</v>
      </c>
      <c r="I2" s="2" t="s">
        <v>404</v>
      </c>
    </row>
    <row r="3" spans="1:14" ht="14">
      <c r="A3" s="305" t="s">
        <v>235</v>
      </c>
      <c r="B3" s="187">
        <v>50940</v>
      </c>
      <c r="C3" s="321">
        <f>B3*110%</f>
        <v>56034.000000000007</v>
      </c>
      <c r="D3" s="321">
        <f>B3*120%</f>
        <v>61128</v>
      </c>
      <c r="E3" s="188">
        <v>84220</v>
      </c>
      <c r="F3" s="412">
        <f>F6*$H$4</f>
        <v>106019.10542822676</v>
      </c>
      <c r="G3" s="319"/>
      <c r="H3" s="312">
        <f>SUM(B3-B6)/B6</f>
        <v>0.53618817852834744</v>
      </c>
      <c r="I3">
        <v>44965</v>
      </c>
    </row>
    <row r="4" spans="1:14" ht="14">
      <c r="A4" s="305" t="s">
        <v>236</v>
      </c>
      <c r="B4" s="187">
        <v>40752</v>
      </c>
      <c r="C4" s="321">
        <f t="shared" ref="C4:C8" si="0">B4*110%</f>
        <v>44827.200000000004</v>
      </c>
      <c r="D4" s="321">
        <f t="shared" ref="D4:D8" si="1">B4*120%</f>
        <v>48902.400000000001</v>
      </c>
      <c r="E4" s="187">
        <v>67376</v>
      </c>
      <c r="F4" s="412">
        <f>F6*$H$6</f>
        <v>84815.284342581421</v>
      </c>
      <c r="G4" s="319"/>
      <c r="H4" s="313">
        <f>SUM(1,H3)</f>
        <v>1.5361881785283473</v>
      </c>
      <c r="I4">
        <v>33629</v>
      </c>
    </row>
    <row r="5" spans="1:14" ht="15" thickBot="1">
      <c r="A5" s="305" t="s">
        <v>237</v>
      </c>
      <c r="B5" s="187">
        <v>18720</v>
      </c>
      <c r="C5" s="321">
        <f>B5*110%</f>
        <v>20592</v>
      </c>
      <c r="D5" s="321">
        <f t="shared" si="1"/>
        <v>22464</v>
      </c>
      <c r="E5" s="187">
        <v>25630</v>
      </c>
      <c r="F5" s="413">
        <f>F8</f>
        <v>49920</v>
      </c>
      <c r="G5" s="319"/>
      <c r="H5" s="312">
        <f>SUM(B4-B6)/B6</f>
        <v>0.22895054282267793</v>
      </c>
      <c r="I5">
        <v>23407</v>
      </c>
    </row>
    <row r="6" spans="1:14" ht="14">
      <c r="A6" s="308" t="s">
        <v>47</v>
      </c>
      <c r="B6" s="360">
        <v>33160</v>
      </c>
      <c r="C6" s="326">
        <f t="shared" si="0"/>
        <v>36476</v>
      </c>
      <c r="D6" s="326">
        <f>B6*120%</f>
        <v>39792</v>
      </c>
      <c r="E6" s="302">
        <v>52290</v>
      </c>
      <c r="F6" s="414">
        <f>'VariablesINPUT-CTR'!F25*2080</f>
        <v>69014.399999999994</v>
      </c>
      <c r="G6" s="320">
        <f>'VariablesINPUT-FCC'!F25*2080</f>
        <v>0</v>
      </c>
      <c r="H6" s="313">
        <f>SUM(1,H5)</f>
        <v>1.2289505428226779</v>
      </c>
      <c r="I6">
        <v>27445</v>
      </c>
      <c r="J6" s="12"/>
      <c r="L6" s="29"/>
      <c r="M6" s="205"/>
    </row>
    <row r="7" spans="1:14" ht="14">
      <c r="A7" s="305" t="s">
        <v>48</v>
      </c>
      <c r="B7" s="361">
        <v>25168</v>
      </c>
      <c r="C7" s="322">
        <f>B7*110%</f>
        <v>27684.800000000003</v>
      </c>
      <c r="D7" s="322">
        <f t="shared" si="1"/>
        <v>30201.599999999999</v>
      </c>
      <c r="E7" s="303">
        <v>37010</v>
      </c>
      <c r="F7" s="415">
        <f>'VariablesINPUT-CTR'!G25*2080</f>
        <v>49920</v>
      </c>
      <c r="G7" s="320">
        <f>'VariablesINPUT-FCC'!G25*2080</f>
        <v>0</v>
      </c>
      <c r="I7">
        <v>24197</v>
      </c>
      <c r="L7" s="29"/>
      <c r="M7" s="204"/>
      <c r="N7" s="12"/>
    </row>
    <row r="8" spans="1:14" ht="14">
      <c r="A8" s="305" t="s">
        <v>238</v>
      </c>
      <c r="B8" s="187">
        <v>18720</v>
      </c>
      <c r="C8" s="321">
        <f t="shared" si="0"/>
        <v>20592</v>
      </c>
      <c r="D8" s="321">
        <f t="shared" si="1"/>
        <v>22464</v>
      </c>
      <c r="E8" s="187">
        <v>31200</v>
      </c>
      <c r="F8" s="416">
        <f>'VariablesINPUT-CTR'!H25*2080</f>
        <v>49920</v>
      </c>
      <c r="G8" s="305"/>
      <c r="I8">
        <v>21433</v>
      </c>
    </row>
    <row r="9" spans="1:14" ht="14">
      <c r="B9" s="232"/>
      <c r="D9" s="189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6" t="s">
        <v>239</v>
      </c>
      <c r="B11" s="306"/>
      <c r="C11" s="310"/>
      <c r="D11" s="306"/>
      <c r="F11" s="29"/>
      <c r="J11" s="203"/>
      <c r="K11" s="29"/>
    </row>
    <row r="12" spans="1:14" ht="14">
      <c r="A12" s="306">
        <v>10.5</v>
      </c>
      <c r="B12" s="317" t="s">
        <v>240</v>
      </c>
      <c r="C12" s="317" t="s">
        <v>241</v>
      </c>
      <c r="D12" s="317" t="s">
        <v>220</v>
      </c>
      <c r="E12" s="317" t="s">
        <v>221</v>
      </c>
      <c r="K12" s="29"/>
      <c r="L12" s="74"/>
    </row>
    <row r="13" spans="1:14" ht="14">
      <c r="A13" s="308"/>
      <c r="B13" s="308" t="s">
        <v>242</v>
      </c>
      <c r="C13" s="308" t="s">
        <v>38</v>
      </c>
      <c r="D13" s="309">
        <v>1.1000000000000001</v>
      </c>
      <c r="E13" s="309">
        <v>1.2</v>
      </c>
      <c r="K13" s="29"/>
      <c r="L13" s="1"/>
    </row>
    <row r="14" spans="1:14" ht="14">
      <c r="A14" s="305" t="s">
        <v>235</v>
      </c>
      <c r="B14" s="390">
        <f>I3</f>
        <v>44965</v>
      </c>
      <c r="C14" s="390">
        <f>B3</f>
        <v>50940</v>
      </c>
      <c r="D14" s="391">
        <f>C14*110%</f>
        <v>56034.000000000007</v>
      </c>
      <c r="E14" s="391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5" t="s">
        <v>236</v>
      </c>
      <c r="B15" s="390">
        <f>I4</f>
        <v>33629</v>
      </c>
      <c r="C15" s="390">
        <f>B4</f>
        <v>40752</v>
      </c>
      <c r="D15" s="391">
        <f t="shared" ref="D15:D19" si="2">C15*110%</f>
        <v>44827.200000000004</v>
      </c>
      <c r="E15" s="391">
        <f>C15*120%</f>
        <v>48902.400000000001</v>
      </c>
      <c r="H15" s="12"/>
      <c r="I15" s="12"/>
      <c r="J15" s="12"/>
    </row>
    <row r="16" spans="1:14" ht="14">
      <c r="A16" s="305" t="s">
        <v>237</v>
      </c>
      <c r="B16" s="390">
        <v>21840</v>
      </c>
      <c r="C16" s="390">
        <f>10.5*2080</f>
        <v>21840</v>
      </c>
      <c r="D16" s="391">
        <f t="shared" si="2"/>
        <v>24024.000000000004</v>
      </c>
      <c r="E16" s="391">
        <f t="shared" ref="E16:E19" si="3">C16*120%</f>
        <v>26208</v>
      </c>
      <c r="H16" s="12"/>
      <c r="I16" s="12"/>
      <c r="J16" s="12"/>
    </row>
    <row r="17" spans="1:10" ht="14">
      <c r="A17" s="308" t="s">
        <v>47</v>
      </c>
      <c r="B17" s="390">
        <f t="shared" ref="B17" si="4">I6</f>
        <v>27445</v>
      </c>
      <c r="C17" s="390">
        <f>B6</f>
        <v>33160</v>
      </c>
      <c r="D17" s="391">
        <f t="shared" si="2"/>
        <v>36476</v>
      </c>
      <c r="E17" s="391">
        <f t="shared" si="3"/>
        <v>39792</v>
      </c>
      <c r="G17" s="207"/>
      <c r="H17" s="12"/>
      <c r="I17" s="12"/>
      <c r="J17" s="12"/>
    </row>
    <row r="18" spans="1:10" ht="14">
      <c r="A18" s="305" t="s">
        <v>48</v>
      </c>
      <c r="B18" s="390">
        <f>I7</f>
        <v>24197</v>
      </c>
      <c r="C18" s="390">
        <f>B18</f>
        <v>24197</v>
      </c>
      <c r="D18" s="391">
        <f t="shared" si="2"/>
        <v>26616.7</v>
      </c>
      <c r="E18" s="391">
        <f t="shared" si="3"/>
        <v>29036.399999999998</v>
      </c>
      <c r="G18" s="12"/>
      <c r="H18" s="12"/>
      <c r="I18" s="12"/>
      <c r="J18" s="12"/>
    </row>
    <row r="19" spans="1:10" ht="14">
      <c r="A19" s="305">
        <f>IF(D1="Licensing/Star 2",(12*A20),IF(D1="Star 2+/3",(2+((12+2.5)*A20)),IF(D1="Star 4",(3+(12+2.5)*A20),IF(D1="Star 5",(4+(12+2.5)*A20),0))))/2080</f>
        <v>0</v>
      </c>
      <c r="B19" s="390">
        <v>21840</v>
      </c>
      <c r="C19" s="390">
        <f>A12*2080</f>
        <v>21840</v>
      </c>
      <c r="D19" s="391">
        <f t="shared" si="2"/>
        <v>24024.000000000004</v>
      </c>
      <c r="E19" s="391">
        <f t="shared" si="3"/>
        <v>26208</v>
      </c>
      <c r="G19" s="12"/>
      <c r="H19" s="12"/>
      <c r="I19" s="12"/>
      <c r="J19" s="12"/>
    </row>
    <row r="20" spans="1:10" ht="14">
      <c r="A20" s="306">
        <f>SUM(A16:A18)</f>
        <v>0</v>
      </c>
      <c r="B20" s="232"/>
      <c r="D20" s="306"/>
    </row>
    <row r="21" spans="1:10" ht="14">
      <c r="A21" s="306"/>
      <c r="B21" s="417"/>
      <c r="C21" s="306"/>
      <c r="D21" s="306"/>
    </row>
    <row r="22" spans="1:10" ht="14">
      <c r="A22" s="306" t="s">
        <v>243</v>
      </c>
      <c r="B22" s="306"/>
      <c r="C22" s="307"/>
      <c r="D22" s="306"/>
    </row>
    <row r="23" spans="1:10" ht="14">
      <c r="A23" s="308">
        <v>12.1</v>
      </c>
      <c r="B23" s="317" t="s">
        <v>240</v>
      </c>
      <c r="C23" s="317" t="s">
        <v>241</v>
      </c>
      <c r="D23" s="317" t="s">
        <v>220</v>
      </c>
      <c r="E23" s="317" t="s">
        <v>221</v>
      </c>
    </row>
    <row r="24" spans="1:10" ht="14">
      <c r="A24" s="306"/>
      <c r="B24" s="308" t="s">
        <v>242</v>
      </c>
      <c r="C24" s="308" t="s">
        <v>38</v>
      </c>
      <c r="D24" s="309">
        <v>1.1000000000000001</v>
      </c>
      <c r="E24" s="309">
        <v>1.2</v>
      </c>
    </row>
    <row r="25" spans="1:10" ht="14">
      <c r="A25" s="305" t="s">
        <v>235</v>
      </c>
      <c r="B25" s="187">
        <f>I3</f>
        <v>44965</v>
      </c>
      <c r="C25" s="187">
        <f>B3</f>
        <v>50940</v>
      </c>
      <c r="D25" s="304">
        <f>C25*110%</f>
        <v>56034.000000000007</v>
      </c>
      <c r="E25" s="304">
        <f>C25*120%</f>
        <v>61128</v>
      </c>
      <c r="G25">
        <f>12.1*2080</f>
        <v>25168</v>
      </c>
    </row>
    <row r="26" spans="1:10" ht="14">
      <c r="A26" s="305" t="s">
        <v>236</v>
      </c>
      <c r="B26" s="187">
        <f t="shared" ref="B26:B28" si="5">I4</f>
        <v>33629</v>
      </c>
      <c r="C26" s="187">
        <f>B4</f>
        <v>40752</v>
      </c>
      <c r="D26" s="304">
        <f t="shared" ref="D26:D29" si="6">C26*110%</f>
        <v>44827.200000000004</v>
      </c>
      <c r="E26" s="304">
        <f t="shared" ref="E26:E29" si="7">C26*120%</f>
        <v>48902.400000000001</v>
      </c>
    </row>
    <row r="27" spans="1:10" ht="14">
      <c r="A27" s="305" t="s">
        <v>237</v>
      </c>
      <c r="B27" s="187">
        <v>25168</v>
      </c>
      <c r="C27" s="187">
        <f>A23*2080</f>
        <v>25168</v>
      </c>
      <c r="D27" s="304">
        <f t="shared" si="6"/>
        <v>27684.800000000003</v>
      </c>
      <c r="E27" s="304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399</v>
      </c>
      <c r="I27" s="398">
        <v>1.25</v>
      </c>
      <c r="J27" s="399">
        <f>C26*I27</f>
        <v>50940</v>
      </c>
    </row>
    <row r="28" spans="1:10" ht="14">
      <c r="A28" s="308" t="s">
        <v>47</v>
      </c>
      <c r="B28" s="187">
        <f t="shared" si="5"/>
        <v>27445</v>
      </c>
      <c r="C28" s="187">
        <f>B6</f>
        <v>33160</v>
      </c>
      <c r="D28" s="304">
        <f t="shared" si="6"/>
        <v>36476</v>
      </c>
      <c r="E28" s="304">
        <f t="shared" si="7"/>
        <v>39792</v>
      </c>
      <c r="F28" s="12">
        <f>B28/2080</f>
        <v>13.194711538461538</v>
      </c>
      <c r="H28" t="s">
        <v>398</v>
      </c>
      <c r="I28" s="398">
        <v>1.1710400000000001</v>
      </c>
      <c r="J28" s="399">
        <f>C28*I28</f>
        <v>38831.686400000006</v>
      </c>
    </row>
    <row r="29" spans="1:10" ht="14">
      <c r="A29" s="305" t="s">
        <v>48</v>
      </c>
      <c r="B29" s="187">
        <v>25168</v>
      </c>
      <c r="C29" s="187">
        <f>12.1*2080</f>
        <v>25168</v>
      </c>
      <c r="D29" s="304">
        <f t="shared" si="6"/>
        <v>27684.800000000003</v>
      </c>
      <c r="E29" s="304">
        <f t="shared" si="7"/>
        <v>30201.599999999999</v>
      </c>
      <c r="F29" s="12">
        <f>B29/2080</f>
        <v>12.1</v>
      </c>
      <c r="H29" t="s">
        <v>397</v>
      </c>
      <c r="I29" s="398">
        <v>1.3827</v>
      </c>
      <c r="J29" s="399">
        <f>C29*I29</f>
        <v>34799.793600000005</v>
      </c>
    </row>
    <row r="30" spans="1:10" ht="14">
      <c r="A30" s="305" t="s">
        <v>238</v>
      </c>
      <c r="B30" s="187">
        <v>25168</v>
      </c>
      <c r="C30" s="187">
        <f>A23*2080</f>
        <v>25168</v>
      </c>
      <c r="D30" s="187">
        <f>C30*110%</f>
        <v>27684.800000000003</v>
      </c>
      <c r="E30" s="187">
        <f>C30*120%</f>
        <v>30201.599999999999</v>
      </c>
    </row>
    <row r="31" spans="1:10" ht="28" customHeight="1">
      <c r="A31" s="306"/>
      <c r="B31" s="306"/>
      <c r="C31" s="311"/>
      <c r="D31" s="306"/>
      <c r="I31" s="12"/>
    </row>
    <row r="32" spans="1:10" ht="14">
      <c r="A32" s="306" t="s">
        <v>396</v>
      </c>
      <c r="B32" s="306"/>
      <c r="C32" s="307"/>
      <c r="D32" s="306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08">
        <v>15</v>
      </c>
      <c r="B33" s="317" t="s">
        <v>240</v>
      </c>
      <c r="C33" s="317" t="s">
        <v>241</v>
      </c>
      <c r="D33" s="317" t="s">
        <v>220</v>
      </c>
      <c r="E33" s="317" t="s">
        <v>221</v>
      </c>
    </row>
    <row r="34" spans="1:8" ht="14">
      <c r="A34" s="306"/>
      <c r="B34" s="308" t="s">
        <v>242</v>
      </c>
      <c r="C34" s="308" t="s">
        <v>38</v>
      </c>
      <c r="D34" s="309">
        <v>1.1000000000000001</v>
      </c>
      <c r="E34" s="309">
        <v>1.2</v>
      </c>
    </row>
    <row r="35" spans="1:8" ht="14">
      <c r="A35" s="305" t="s">
        <v>235</v>
      </c>
      <c r="B35" s="187">
        <f>C35</f>
        <v>63148.683312000001</v>
      </c>
      <c r="C35" s="187">
        <f>C36*I27</f>
        <v>63148.683312000001</v>
      </c>
      <c r="D35" s="304">
        <f t="shared" ref="D35:D40" si="8">C35*110%</f>
        <v>69463.5516432</v>
      </c>
      <c r="E35" s="304">
        <f t="shared" ref="E35:E40" si="9">C35*120%</f>
        <v>75778.419974399992</v>
      </c>
      <c r="G35">
        <f>A33*2080</f>
        <v>31200</v>
      </c>
    </row>
    <row r="36" spans="1:8" ht="14">
      <c r="A36" s="305" t="s">
        <v>236</v>
      </c>
      <c r="B36" s="187">
        <f>C36</f>
        <v>50518.946649600002</v>
      </c>
      <c r="C36" s="187">
        <f>C38*I28</f>
        <v>50518.946649600002</v>
      </c>
      <c r="D36" s="304">
        <f t="shared" si="8"/>
        <v>55570.841314560006</v>
      </c>
      <c r="E36" s="304">
        <f t="shared" si="9"/>
        <v>60622.735979520003</v>
      </c>
    </row>
    <row r="37" spans="1:8" ht="14">
      <c r="A37" s="305" t="s">
        <v>237</v>
      </c>
      <c r="B37" s="187">
        <f>G35</f>
        <v>31200</v>
      </c>
      <c r="C37" s="187">
        <f>A33*2080</f>
        <v>31200</v>
      </c>
      <c r="D37" s="304">
        <f t="shared" si="8"/>
        <v>34320</v>
      </c>
      <c r="E37" s="304">
        <f t="shared" si="9"/>
        <v>37440</v>
      </c>
    </row>
    <row r="38" spans="1:8" ht="14">
      <c r="A38" s="400" t="s">
        <v>47</v>
      </c>
      <c r="B38" s="401">
        <f>C38</f>
        <v>43140.24</v>
      </c>
      <c r="C38" s="187">
        <f>G35*I29</f>
        <v>43140.24</v>
      </c>
      <c r="D38" s="304">
        <f t="shared" si="8"/>
        <v>47454.264000000003</v>
      </c>
      <c r="E38" s="304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5" t="s">
        <v>48</v>
      </c>
      <c r="B39" s="187">
        <f>G35</f>
        <v>31200</v>
      </c>
      <c r="C39" s="187">
        <f>G35</f>
        <v>31200</v>
      </c>
      <c r="D39" s="304">
        <f t="shared" si="8"/>
        <v>34320</v>
      </c>
      <c r="E39" s="304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5" t="s">
        <v>238</v>
      </c>
      <c r="B40" s="187">
        <f>G35</f>
        <v>31200</v>
      </c>
      <c r="C40" s="187">
        <f>A33*2080</f>
        <v>31200</v>
      </c>
      <c r="D40" s="187">
        <f t="shared" si="8"/>
        <v>34320</v>
      </c>
      <c r="E40" s="187">
        <f t="shared" si="9"/>
        <v>37440</v>
      </c>
    </row>
    <row r="41" spans="1:8" ht="14">
      <c r="A41" s="306"/>
      <c r="B41" s="403"/>
      <c r="C41" s="403"/>
      <c r="D41" s="403"/>
      <c r="E41" s="403"/>
    </row>
    <row r="42" spans="1:8" ht="14">
      <c r="A42" s="306" t="s">
        <v>401</v>
      </c>
      <c r="B42" s="306"/>
      <c r="C42" s="307"/>
      <c r="D42" s="306"/>
    </row>
    <row r="43" spans="1:8" ht="14">
      <c r="A43" s="308">
        <v>18</v>
      </c>
      <c r="B43" s="317" t="s">
        <v>240</v>
      </c>
      <c r="C43" s="317" t="s">
        <v>241</v>
      </c>
      <c r="D43" s="317" t="s">
        <v>220</v>
      </c>
      <c r="E43" s="317" t="s">
        <v>221</v>
      </c>
    </row>
    <row r="44" spans="1:8" ht="14">
      <c r="A44" s="306"/>
      <c r="B44" s="308" t="s">
        <v>242</v>
      </c>
      <c r="C44" s="308" t="s">
        <v>38</v>
      </c>
      <c r="D44" s="309">
        <v>1.1000000000000001</v>
      </c>
      <c r="E44" s="309">
        <v>1.2</v>
      </c>
    </row>
    <row r="45" spans="1:8" ht="14">
      <c r="A45" s="305" t="s">
        <v>235</v>
      </c>
      <c r="B45" s="187">
        <f>C45</f>
        <v>75778.419974400007</v>
      </c>
      <c r="C45" s="187">
        <f>C46*I27</f>
        <v>75778.419974400007</v>
      </c>
      <c r="D45" s="304">
        <f t="shared" ref="D45:D50" si="10">C45*110%</f>
        <v>83356.261971840009</v>
      </c>
      <c r="E45" s="304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5" t="s">
        <v>236</v>
      </c>
      <c r="B46" s="187">
        <f>C46</f>
        <v>60622.735979520003</v>
      </c>
      <c r="C46" s="187">
        <f>C48*I28</f>
        <v>60622.735979520003</v>
      </c>
      <c r="D46" s="304">
        <f t="shared" si="10"/>
        <v>66685.00957747201</v>
      </c>
      <c r="E46" s="304">
        <f t="shared" si="11"/>
        <v>72747.283175424003</v>
      </c>
    </row>
    <row r="47" spans="1:8" ht="14">
      <c r="A47" s="305" t="s">
        <v>237</v>
      </c>
      <c r="B47" s="187">
        <f>G45</f>
        <v>37440</v>
      </c>
      <c r="C47" s="187">
        <f>A43*2080</f>
        <v>37440</v>
      </c>
      <c r="D47" s="304">
        <f t="shared" si="10"/>
        <v>41184</v>
      </c>
      <c r="E47" s="304">
        <f t="shared" si="11"/>
        <v>44928</v>
      </c>
    </row>
    <row r="48" spans="1:8" ht="14">
      <c r="A48" s="400" t="s">
        <v>47</v>
      </c>
      <c r="B48" s="401">
        <f>C48</f>
        <v>51768.288</v>
      </c>
      <c r="C48" s="187">
        <f>G45*I29</f>
        <v>51768.288</v>
      </c>
      <c r="D48" s="304">
        <f t="shared" si="10"/>
        <v>56945.116800000003</v>
      </c>
      <c r="E48" s="304">
        <f t="shared" si="11"/>
        <v>62121.945599999999</v>
      </c>
      <c r="F48" s="12">
        <f>B48/2080</f>
        <v>24.8886</v>
      </c>
    </row>
    <row r="49" spans="1:11" ht="14">
      <c r="A49" s="305" t="s">
        <v>48</v>
      </c>
      <c r="B49" s="187">
        <f>C49</f>
        <v>37440</v>
      </c>
      <c r="C49" s="187">
        <f>G45</f>
        <v>37440</v>
      </c>
      <c r="D49" s="304">
        <f t="shared" si="10"/>
        <v>41184</v>
      </c>
      <c r="E49" s="304">
        <f t="shared" si="11"/>
        <v>44928</v>
      </c>
      <c r="F49" s="12">
        <f>B49/2080</f>
        <v>18</v>
      </c>
    </row>
    <row r="50" spans="1:11" ht="14">
      <c r="A50" s="305" t="s">
        <v>238</v>
      </c>
      <c r="B50" s="187">
        <f>C50</f>
        <v>37440</v>
      </c>
      <c r="C50" s="187">
        <f>A43*2080</f>
        <v>37440</v>
      </c>
      <c r="D50" s="187">
        <f t="shared" si="10"/>
        <v>41184</v>
      </c>
      <c r="E50" s="187">
        <f t="shared" si="11"/>
        <v>44928</v>
      </c>
    </row>
    <row r="51" spans="1:11" ht="14">
      <c r="A51" s="306"/>
      <c r="B51" s="306"/>
      <c r="C51" s="311"/>
      <c r="D51" s="306"/>
    </row>
    <row r="52" spans="1:11" ht="14">
      <c r="A52" s="306"/>
      <c r="B52" s="402" t="s">
        <v>400</v>
      </c>
    </row>
    <row r="53" spans="1:11" ht="14">
      <c r="A53" s="306" t="s">
        <v>421</v>
      </c>
      <c r="B53" s="306"/>
      <c r="C53" s="307"/>
      <c r="D53" s="306"/>
    </row>
    <row r="54" spans="1:11" ht="14">
      <c r="A54" s="308">
        <v>20</v>
      </c>
      <c r="B54" s="317" t="s">
        <v>240</v>
      </c>
      <c r="C54" s="317" t="s">
        <v>241</v>
      </c>
      <c r="D54" s="317" t="s">
        <v>220</v>
      </c>
      <c r="E54" s="317" t="s">
        <v>221</v>
      </c>
    </row>
    <row r="55" spans="1:11" ht="14">
      <c r="A55" s="306"/>
      <c r="B55" s="308" t="s">
        <v>242</v>
      </c>
      <c r="C55" s="308" t="s">
        <v>38</v>
      </c>
      <c r="D55" s="309">
        <v>1.1000000000000001</v>
      </c>
      <c r="E55" s="309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5" t="s">
        <v>235</v>
      </c>
      <c r="B56" s="187">
        <f>C56</f>
        <v>84198.244416000001</v>
      </c>
      <c r="C56" s="187">
        <f>C57*I27</f>
        <v>84198.244416000001</v>
      </c>
      <c r="D56" s="304">
        <f t="shared" ref="D56:D61" si="13">C56*110%</f>
        <v>92618.06885760001</v>
      </c>
      <c r="E56" s="304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5" t="s">
        <v>236</v>
      </c>
      <c r="B57" s="187">
        <f>C57</f>
        <v>67358.595532799998</v>
      </c>
      <c r="C57" s="187">
        <f>C59*I28</f>
        <v>67358.595532799998</v>
      </c>
      <c r="D57" s="304">
        <f t="shared" si="13"/>
        <v>74094.455086080008</v>
      </c>
      <c r="E57" s="304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5" t="s">
        <v>237</v>
      </c>
      <c r="B58" s="187">
        <f>G56</f>
        <v>41600</v>
      </c>
      <c r="C58" s="187">
        <f>A54*2080</f>
        <v>41600</v>
      </c>
      <c r="D58" s="304">
        <f t="shared" si="13"/>
        <v>45760.000000000007</v>
      </c>
      <c r="E58" s="304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0" t="s">
        <v>47</v>
      </c>
      <c r="B59" s="401">
        <f>C59</f>
        <v>57520.32</v>
      </c>
      <c r="C59" s="187">
        <f>G56*I29</f>
        <v>57520.32</v>
      </c>
      <c r="D59" s="304">
        <f t="shared" si="13"/>
        <v>63272.352000000006</v>
      </c>
      <c r="E59" s="304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5" t="s">
        <v>48</v>
      </c>
      <c r="B60" s="187">
        <f>C60</f>
        <v>41600</v>
      </c>
      <c r="C60" s="187">
        <f>G56</f>
        <v>41600</v>
      </c>
      <c r="D60" s="304">
        <f t="shared" si="13"/>
        <v>45760.000000000007</v>
      </c>
      <c r="E60" s="304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5" t="s">
        <v>238</v>
      </c>
      <c r="B61" s="187">
        <f>C61</f>
        <v>41600</v>
      </c>
      <c r="C61" s="187">
        <f>A54*2080</f>
        <v>41600</v>
      </c>
      <c r="D61" s="187">
        <f t="shared" si="13"/>
        <v>45760.000000000007</v>
      </c>
      <c r="E61" s="187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6"/>
    </row>
    <row r="64" spans="1:11">
      <c r="A64" s="29" t="s">
        <v>234</v>
      </c>
    </row>
    <row r="65" spans="1:16">
      <c r="A65" s="29"/>
      <c r="B65" s="29" t="s">
        <v>244</v>
      </c>
      <c r="C65" s="29" t="s">
        <v>220</v>
      </c>
      <c r="D65" s="29" t="s">
        <v>221</v>
      </c>
      <c r="E65" s="29" t="s">
        <v>245</v>
      </c>
      <c r="F65" s="39" t="s">
        <v>246</v>
      </c>
      <c r="G65" s="29" t="s">
        <v>247</v>
      </c>
      <c r="H65" s="29" t="s">
        <v>248</v>
      </c>
      <c r="I65" s="29" t="s">
        <v>220</v>
      </c>
      <c r="J65" s="29" t="s">
        <v>221</v>
      </c>
      <c r="K65" s="29" t="s">
        <v>249</v>
      </c>
      <c r="L65" s="29" t="s">
        <v>250</v>
      </c>
      <c r="M65" s="29" t="s">
        <v>251</v>
      </c>
      <c r="N65" s="29" t="s">
        <v>252</v>
      </c>
      <c r="O65" s="29" t="s">
        <v>253</v>
      </c>
    </row>
    <row r="66" spans="1:16">
      <c r="A66" s="75" t="s">
        <v>235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236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237</v>
      </c>
      <c r="B68" s="29"/>
      <c r="C68" s="29"/>
      <c r="D68" s="29"/>
      <c r="E68" s="29"/>
      <c r="F68" s="38"/>
    </row>
    <row r="69" spans="1:16">
      <c r="A69" s="206" t="s">
        <v>254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6" t="s">
        <v>255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6" t="s">
        <v>256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6" t="s">
        <v>257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258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259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260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261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262</v>
      </c>
      <c r="C78" s="29"/>
      <c r="D78" s="29"/>
      <c r="E78" s="29"/>
      <c r="L78" s="28"/>
    </row>
    <row r="79" spans="1:16">
      <c r="A79" s="75" t="s">
        <v>235</v>
      </c>
      <c r="B79" s="204">
        <f>SUM(D66-B66)/B66</f>
        <v>0.151147345761004</v>
      </c>
      <c r="J79" s="28">
        <f>SUM(N70-N69)/N69</f>
        <v>4.7692307692307631E-2</v>
      </c>
      <c r="L79" s="208" t="s">
        <v>263</v>
      </c>
    </row>
    <row r="80" spans="1:16">
      <c r="A80" s="75" t="s">
        <v>236</v>
      </c>
      <c r="B80" s="204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237</v>
      </c>
      <c r="B81" s="204"/>
      <c r="I81" s="29"/>
      <c r="J81" s="28">
        <f t="shared" ref="J81:J84" si="18">SUM(N72-N71)/N71</f>
        <v>-0.16976127320954909</v>
      </c>
    </row>
    <row r="82" spans="1:10">
      <c r="A82" s="206" t="s">
        <v>254</v>
      </c>
      <c r="B82" s="204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6" t="s">
        <v>255</v>
      </c>
      <c r="B83" s="204">
        <f t="shared" si="19"/>
        <v>8.6206896551724144E-2</v>
      </c>
      <c r="J83" s="28">
        <f t="shared" si="18"/>
        <v>2.060085836909873E-2</v>
      </c>
    </row>
    <row r="84" spans="1:10">
      <c r="A84" s="206" t="s">
        <v>256</v>
      </c>
      <c r="B84" s="204">
        <f t="shared" si="19"/>
        <v>0.19219440353460981</v>
      </c>
      <c r="J84" s="28">
        <f t="shared" si="18"/>
        <v>0.13372582001682085</v>
      </c>
    </row>
    <row r="85" spans="1:10">
      <c r="A85" s="206" t="s">
        <v>257</v>
      </c>
      <c r="B85" s="204">
        <f t="shared" si="19"/>
        <v>-2.1915584415584381E-2</v>
      </c>
    </row>
    <row r="86" spans="1:10">
      <c r="A86" s="75" t="s">
        <v>258</v>
      </c>
      <c r="B86" s="204">
        <f t="shared" si="19"/>
        <v>-2.1043000914913124E-2</v>
      </c>
    </row>
    <row r="87" spans="1:10">
      <c r="A87" s="75" t="s">
        <v>259</v>
      </c>
      <c r="B87" s="204">
        <f t="shared" si="19"/>
        <v>-6.2499999999999903E-2</v>
      </c>
    </row>
    <row r="88" spans="1:10">
      <c r="A88" s="75" t="s">
        <v>260</v>
      </c>
      <c r="B88" s="204">
        <f t="shared" si="19"/>
        <v>-7.581501137225009E-4</v>
      </c>
    </row>
    <row r="89" spans="1:10">
      <c r="A89" s="75" t="s">
        <v>261</v>
      </c>
      <c r="B89" s="204">
        <f t="shared" si="19"/>
        <v>-0.13344887348353546</v>
      </c>
    </row>
    <row r="91" spans="1:10">
      <c r="A91" t="s">
        <v>264</v>
      </c>
    </row>
    <row r="92" spans="1:10">
      <c r="A92" s="29" t="s">
        <v>265</v>
      </c>
      <c r="B92" t="s">
        <v>266</v>
      </c>
      <c r="C92" t="s">
        <v>267</v>
      </c>
      <c r="D92" s="29" t="s">
        <v>47</v>
      </c>
      <c r="E92" s="29" t="s">
        <v>268</v>
      </c>
    </row>
    <row r="93" spans="1:10" ht="14">
      <c r="A93" s="359">
        <v>49110</v>
      </c>
      <c r="B93" s="359">
        <v>49110</v>
      </c>
      <c r="C93" s="359">
        <v>27290</v>
      </c>
      <c r="D93" s="359">
        <v>34800</v>
      </c>
      <c r="E93" s="359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269</v>
      </c>
      <c r="C1" s="46" t="s">
        <v>270</v>
      </c>
      <c r="D1" s="203" t="s">
        <v>407</v>
      </c>
      <c r="E1" s="203" t="s">
        <v>408</v>
      </c>
      <c r="F1" s="404" t="s">
        <v>419</v>
      </c>
      <c r="G1" s="29"/>
      <c r="H1" s="46"/>
      <c r="I1" s="2" t="s">
        <v>271</v>
      </c>
      <c r="J1" s="46" t="s">
        <v>272</v>
      </c>
      <c r="K1" s="404" t="s">
        <v>419</v>
      </c>
      <c r="L1" s="46" t="s">
        <v>273</v>
      </c>
      <c r="M1" s="46" t="s">
        <v>274</v>
      </c>
    </row>
    <row r="2" spans="1:26">
      <c r="A2" s="29" t="s">
        <v>275</v>
      </c>
      <c r="B2" s="39">
        <f>'VariablesINPUT-CTR'!C13</f>
        <v>110</v>
      </c>
      <c r="C2" s="29"/>
      <c r="E2">
        <v>65</v>
      </c>
      <c r="F2" s="405">
        <v>0.14799999999999999</v>
      </c>
      <c r="G2" s="67"/>
      <c r="H2" s="29"/>
      <c r="K2" s="405">
        <v>0.14799999999999999</v>
      </c>
      <c r="L2" s="29"/>
      <c r="M2" s="29"/>
    </row>
    <row r="3" spans="1:26">
      <c r="A3" s="29" t="s">
        <v>83</v>
      </c>
      <c r="B3" s="290">
        <f>'VariablesINPUT-CTR'!G13</f>
        <v>5</v>
      </c>
      <c r="C3" s="29"/>
      <c r="D3">
        <v>5.19</v>
      </c>
      <c r="E3">
        <v>6</v>
      </c>
      <c r="F3" s="402"/>
      <c r="H3" s="29"/>
      <c r="L3" s="29"/>
      <c r="M3" s="29"/>
    </row>
    <row r="4" spans="1:26" ht="24" customHeight="1">
      <c r="A4" s="6" t="s">
        <v>276</v>
      </c>
      <c r="C4" s="29"/>
      <c r="F4" s="402"/>
      <c r="H4" s="29"/>
      <c r="I4" s="30" t="s">
        <v>277</v>
      </c>
      <c r="J4" s="29">
        <v>148.80000000000001</v>
      </c>
      <c r="K4" s="434">
        <f>SUM(J4,(J4*$K$2))</f>
        <v>170.82240000000002</v>
      </c>
      <c r="M4">
        <v>800</v>
      </c>
      <c r="N4" s="392">
        <f>M4/6</f>
        <v>133.33333333333334</v>
      </c>
      <c r="Q4" s="170"/>
    </row>
    <row r="5" spans="1:26" s="40" customFormat="1">
      <c r="A5" s="47" t="s">
        <v>278</v>
      </c>
      <c r="B5" s="85"/>
      <c r="C5" s="78"/>
      <c r="D5"/>
      <c r="E5"/>
      <c r="F5" s="402"/>
      <c r="G5"/>
      <c r="H5" s="29"/>
      <c r="I5" s="29" t="s">
        <v>279</v>
      </c>
      <c r="J5" s="29">
        <v>247.99</v>
      </c>
      <c r="K5" s="434">
        <f t="shared" ref="K5:K17" si="0">SUM(J5,(J5*$K$2))</f>
        <v>284.69252</v>
      </c>
      <c r="L5" s="29"/>
      <c r="M5">
        <v>3609</v>
      </c>
      <c r="N5" s="392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280</v>
      </c>
      <c r="B6" s="42">
        <f>SUM(30)*B2</f>
        <v>3300</v>
      </c>
      <c r="C6" s="31"/>
      <c r="E6" s="29">
        <f>SUM(1515.12)</f>
        <v>1515.12</v>
      </c>
      <c r="F6" s="406">
        <f>SUM(E6,(E6*$F$2))</f>
        <v>1739.3577599999999</v>
      </c>
      <c r="G6" s="209"/>
      <c r="H6" s="31"/>
      <c r="I6" s="29" t="s">
        <v>281</v>
      </c>
      <c r="J6">
        <v>297.58999999999997</v>
      </c>
      <c r="K6" s="434">
        <f t="shared" si="0"/>
        <v>341.63331999999997</v>
      </c>
      <c r="L6" s="7"/>
      <c r="M6" s="31">
        <v>688</v>
      </c>
      <c r="N6" s="392">
        <f t="shared" si="1"/>
        <v>114.66666666666667</v>
      </c>
    </row>
    <row r="7" spans="1:26">
      <c r="A7" s="48" t="s">
        <v>282</v>
      </c>
      <c r="B7" s="42">
        <v>1428</v>
      </c>
      <c r="C7" s="31" t="s">
        <v>35</v>
      </c>
      <c r="E7">
        <v>1240.3900000000001</v>
      </c>
      <c r="F7" s="406">
        <f t="shared" ref="F7:F18" si="2">SUM(E7,(E7*$F$2))</f>
        <v>1423.9677200000001</v>
      </c>
      <c r="G7" s="209"/>
      <c r="H7" s="31"/>
      <c r="I7" s="29" t="s">
        <v>283</v>
      </c>
      <c r="J7">
        <v>446.39</v>
      </c>
      <c r="K7" s="434">
        <f t="shared" si="0"/>
        <v>512.45571999999993</v>
      </c>
      <c r="L7" s="7"/>
      <c r="M7" s="31">
        <v>1878</v>
      </c>
      <c r="N7" s="392">
        <f t="shared" si="1"/>
        <v>313</v>
      </c>
    </row>
    <row r="8" spans="1:26">
      <c r="A8" s="48" t="s">
        <v>284</v>
      </c>
      <c r="B8" s="42">
        <f>SUM(74.4*B2)</f>
        <v>8184.0000000000009</v>
      </c>
      <c r="C8" s="31" t="s">
        <v>35</v>
      </c>
      <c r="E8">
        <v>1834.99</v>
      </c>
      <c r="F8" s="406">
        <f t="shared" si="2"/>
        <v>2106.5685199999998</v>
      </c>
      <c r="G8" s="209"/>
      <c r="H8" s="190"/>
      <c r="I8" s="31" t="s">
        <v>285</v>
      </c>
      <c r="J8">
        <v>120</v>
      </c>
      <c r="K8" s="434">
        <f t="shared" si="0"/>
        <v>137.76</v>
      </c>
      <c r="L8" s="31"/>
      <c r="M8" s="31">
        <v>280</v>
      </c>
      <c r="N8" s="392">
        <f t="shared" si="1"/>
        <v>46.666666666666664</v>
      </c>
    </row>
    <row r="9" spans="1:26">
      <c r="A9" s="48" t="s">
        <v>286</v>
      </c>
      <c r="B9" s="42">
        <v>2976</v>
      </c>
      <c r="C9" s="31" t="s">
        <v>35</v>
      </c>
      <c r="E9">
        <v>1397.91</v>
      </c>
      <c r="F9" s="406">
        <f t="shared" si="2"/>
        <v>1604.8006800000001</v>
      </c>
      <c r="G9" s="209"/>
      <c r="H9" s="31"/>
      <c r="I9" s="31" t="s">
        <v>287</v>
      </c>
      <c r="J9">
        <v>595.17999999999995</v>
      </c>
      <c r="K9" s="434">
        <f t="shared" si="0"/>
        <v>683.26663999999994</v>
      </c>
      <c r="L9" s="31"/>
      <c r="M9" s="31">
        <v>1344</v>
      </c>
      <c r="N9" s="392">
        <f t="shared" si="1"/>
        <v>224</v>
      </c>
    </row>
    <row r="10" spans="1:26">
      <c r="A10" s="48" t="s">
        <v>288</v>
      </c>
      <c r="B10" s="42">
        <v>496</v>
      </c>
      <c r="C10" s="31" t="s">
        <v>35</v>
      </c>
      <c r="E10">
        <v>89.79</v>
      </c>
      <c r="F10" s="406">
        <f t="shared" si="2"/>
        <v>103.07892000000001</v>
      </c>
      <c r="G10" s="209"/>
      <c r="H10" s="31"/>
      <c r="I10" s="31" t="s">
        <v>289</v>
      </c>
      <c r="J10">
        <v>178.55</v>
      </c>
      <c r="K10" s="434">
        <f t="shared" si="0"/>
        <v>204.97540000000001</v>
      </c>
      <c r="L10" s="31"/>
      <c r="M10" s="393">
        <v>3988</v>
      </c>
      <c r="N10" s="392">
        <f t="shared" si="1"/>
        <v>664.66666666666663</v>
      </c>
    </row>
    <row r="11" spans="1:26">
      <c r="A11" s="48"/>
      <c r="C11" s="31"/>
      <c r="E11">
        <v>133.59</v>
      </c>
      <c r="F11" s="406">
        <f t="shared" si="2"/>
        <v>153.36132000000001</v>
      </c>
      <c r="G11" s="209"/>
      <c r="H11" s="31"/>
      <c r="I11" s="31" t="s">
        <v>290</v>
      </c>
      <c r="J11">
        <v>238.07</v>
      </c>
      <c r="K11" s="434">
        <f t="shared" si="0"/>
        <v>273.30435999999997</v>
      </c>
      <c r="L11" s="31"/>
      <c r="M11" s="393">
        <v>9836</v>
      </c>
      <c r="N11" s="392">
        <f t="shared" si="1"/>
        <v>1639.3333333333333</v>
      </c>
    </row>
    <row r="12" spans="1:26" ht="14">
      <c r="A12" s="48"/>
      <c r="B12" s="39"/>
      <c r="C12" s="31"/>
      <c r="E12">
        <v>60.21</v>
      </c>
      <c r="F12" s="406">
        <f t="shared" si="2"/>
        <v>69.121080000000006</v>
      </c>
      <c r="G12" s="209"/>
      <c r="H12" s="31"/>
      <c r="I12" s="31" t="s">
        <v>61</v>
      </c>
      <c r="J12">
        <v>446.39</v>
      </c>
      <c r="K12" s="434">
        <f>SUM(J12,(J12*$K$2))</f>
        <v>512.45571999999993</v>
      </c>
      <c r="L12" s="171"/>
      <c r="M12" s="31">
        <f>SUM(4247,2317)</f>
        <v>6564</v>
      </c>
      <c r="N12" s="392">
        <f t="shared" si="1"/>
        <v>1094</v>
      </c>
    </row>
    <row r="13" spans="1:26">
      <c r="A13" s="50"/>
      <c r="C13" s="29"/>
      <c r="E13">
        <v>343.34</v>
      </c>
      <c r="F13" s="406">
        <f t="shared" si="2"/>
        <v>394.15431999999998</v>
      </c>
      <c r="G13" s="209"/>
      <c r="H13" s="29"/>
      <c r="I13" s="31" t="s">
        <v>291</v>
      </c>
      <c r="J13">
        <v>4761.46</v>
      </c>
      <c r="K13" s="434">
        <f>SUM(J13,(J13*$K$2))</f>
        <v>5466.1560799999997</v>
      </c>
      <c r="M13" s="31">
        <v>15354</v>
      </c>
      <c r="N13" s="392">
        <f t="shared" si="1"/>
        <v>2559</v>
      </c>
    </row>
    <row r="14" spans="1:26" s="40" customFormat="1">
      <c r="E14">
        <v>226.59</v>
      </c>
      <c r="F14" s="406">
        <f t="shared" si="2"/>
        <v>260.12531999999999</v>
      </c>
      <c r="G14" s="209"/>
      <c r="H14"/>
      <c r="I14" s="31" t="s">
        <v>292</v>
      </c>
      <c r="J14">
        <v>892.77</v>
      </c>
      <c r="K14" s="434">
        <f t="shared" si="0"/>
        <v>1024.89996</v>
      </c>
      <c r="L14" s="29"/>
      <c r="M14" s="31">
        <v>959</v>
      </c>
      <c r="N14" s="392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141</v>
      </c>
      <c r="B15" s="41"/>
      <c r="C15" s="40"/>
      <c r="D15" s="29" t="s">
        <v>97</v>
      </c>
      <c r="F15" s="406"/>
      <c r="G15" s="29"/>
      <c r="H15" s="11"/>
      <c r="I15" s="31" t="s">
        <v>293</v>
      </c>
      <c r="J15">
        <v>250</v>
      </c>
      <c r="K15" s="434">
        <f t="shared" si="0"/>
        <v>287</v>
      </c>
      <c r="L15" s="7"/>
      <c r="M15" s="7">
        <v>484</v>
      </c>
      <c r="N15" s="392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294</v>
      </c>
      <c r="B16" s="42">
        <f>SUM(35*B2*13.54)</f>
        <v>52129</v>
      </c>
      <c r="C16" s="31" t="s">
        <v>35</v>
      </c>
      <c r="D16" s="11">
        <v>45306</v>
      </c>
      <c r="E16" s="11">
        <v>69604</v>
      </c>
      <c r="F16" s="406">
        <f t="shared" si="2"/>
        <v>79905.391999999993</v>
      </c>
      <c r="G16" s="209"/>
      <c r="H16" s="20"/>
      <c r="I16" s="29" t="s">
        <v>295</v>
      </c>
      <c r="J16">
        <v>99.2</v>
      </c>
      <c r="K16" s="434">
        <f t="shared" si="0"/>
        <v>113.88160000000001</v>
      </c>
      <c r="L16" s="7"/>
      <c r="M16" s="7">
        <v>19</v>
      </c>
      <c r="N16" s="392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296</v>
      </c>
      <c r="B17" s="42">
        <f>SUM(2.17,1.33)*(35*B2)</f>
        <v>13475</v>
      </c>
      <c r="C17" s="31" t="s">
        <v>35</v>
      </c>
      <c r="D17" s="11">
        <v>14478</v>
      </c>
      <c r="E17" s="11">
        <v>35885</v>
      </c>
      <c r="F17" s="406">
        <f t="shared" si="2"/>
        <v>41195.979999999996</v>
      </c>
      <c r="G17" s="209"/>
      <c r="H17" s="191"/>
      <c r="I17" s="31" t="s">
        <v>297</v>
      </c>
      <c r="J17">
        <v>99.2</v>
      </c>
      <c r="K17" s="434">
        <f t="shared" si="0"/>
        <v>113.88160000000001</v>
      </c>
      <c r="L17" s="29"/>
      <c r="M17" s="393">
        <v>2917</v>
      </c>
      <c r="N17" s="392">
        <f t="shared" si="1"/>
        <v>486.16666666666669</v>
      </c>
      <c r="Q17" s="29"/>
      <c r="R17" s="81"/>
    </row>
    <row r="18" spans="1:26">
      <c r="A18" s="8" t="s">
        <v>298</v>
      </c>
      <c r="B18" s="42">
        <f>SUM(35*B2*2.83)</f>
        <v>10895.5</v>
      </c>
      <c r="C18" s="31" t="s">
        <v>35</v>
      </c>
      <c r="D18" s="11">
        <f>SUM(35*B2*2.83)</f>
        <v>10895.5</v>
      </c>
      <c r="E18" s="11">
        <v>16586</v>
      </c>
      <c r="F18" s="406">
        <f t="shared" si="2"/>
        <v>19040.727999999999</v>
      </c>
      <c r="G18" s="209"/>
      <c r="H18" s="31"/>
      <c r="I18" s="31" t="s">
        <v>299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06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06"/>
      <c r="G20" s="29"/>
      <c r="H20" s="7"/>
      <c r="I20" s="31" t="s">
        <v>300</v>
      </c>
      <c r="J20" s="31">
        <v>11903.64</v>
      </c>
      <c r="K20" s="434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301</v>
      </c>
      <c r="B21" s="42">
        <f>SUM(992,49.6)*B2</f>
        <v>114575.99999999999</v>
      </c>
      <c r="C21" s="7"/>
      <c r="E21" s="11">
        <v>618.04</v>
      </c>
      <c r="F21" s="406">
        <f>SUM(B21,(B21*$F$2))</f>
        <v>131533.24799999999</v>
      </c>
      <c r="G21" s="209"/>
      <c r="H21" s="7"/>
      <c r="I21" s="31" t="s">
        <v>284</v>
      </c>
      <c r="J21" s="31">
        <v>669.58</v>
      </c>
      <c r="K21" s="434">
        <f t="shared" si="3"/>
        <v>768.67784000000006</v>
      </c>
      <c r="L21" s="7"/>
      <c r="M21" s="172">
        <v>571</v>
      </c>
      <c r="R21" s="81"/>
    </row>
    <row r="22" spans="1:26">
      <c r="A22" s="8" t="s">
        <v>302</v>
      </c>
      <c r="B22" s="42">
        <f>SUM(100)*B2</f>
        <v>11000</v>
      </c>
      <c r="C22" s="7"/>
      <c r="E22" s="11">
        <v>482.67</v>
      </c>
      <c r="F22" s="406">
        <f t="shared" ref="F22:F26" si="4">SUM(B22,(B22*$F$2))</f>
        <v>12628</v>
      </c>
      <c r="G22" s="209"/>
      <c r="H22" s="190"/>
      <c r="I22" s="31" t="s">
        <v>303</v>
      </c>
      <c r="J22" s="31">
        <v>495.99</v>
      </c>
      <c r="K22" s="434">
        <f t="shared" si="3"/>
        <v>569.39652000000001</v>
      </c>
      <c r="L22" s="7"/>
      <c r="M22" s="172">
        <v>6300</v>
      </c>
      <c r="R22" s="81"/>
    </row>
    <row r="23" spans="1:26">
      <c r="A23" s="8" t="s">
        <v>304</v>
      </c>
      <c r="B23" s="42">
        <f>22*B2</f>
        <v>2420</v>
      </c>
      <c r="C23" s="31"/>
      <c r="E23" s="11">
        <v>71.38</v>
      </c>
      <c r="F23" s="406">
        <f t="shared" si="4"/>
        <v>2778.16</v>
      </c>
      <c r="G23" s="209"/>
      <c r="H23" s="31"/>
      <c r="I23" s="7" t="s">
        <v>305</v>
      </c>
      <c r="J23" s="7">
        <v>1785.55</v>
      </c>
      <c r="K23" s="434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306</v>
      </c>
      <c r="B24" s="42">
        <f>50*B2</f>
        <v>5500</v>
      </c>
      <c r="C24" s="31"/>
      <c r="E24" s="11">
        <v>47.77</v>
      </c>
      <c r="F24" s="406">
        <f t="shared" si="4"/>
        <v>6314</v>
      </c>
      <c r="G24" s="209"/>
      <c r="H24" s="31"/>
      <c r="I24" s="7" t="s">
        <v>307</v>
      </c>
      <c r="J24" s="7">
        <v>238.07</v>
      </c>
      <c r="K24" s="434">
        <f t="shared" si="3"/>
        <v>273.30435999999997</v>
      </c>
      <c r="L24" s="29"/>
      <c r="M24">
        <v>1519</v>
      </c>
      <c r="P24" s="25"/>
    </row>
    <row r="25" spans="1:26">
      <c r="A25" s="8" t="s">
        <v>308</v>
      </c>
      <c r="B25" s="42">
        <f>24*B2</f>
        <v>2640</v>
      </c>
      <c r="C25" s="31"/>
      <c r="F25" s="406">
        <f>SUM(B25,(B25*$F$2))</f>
        <v>3030.72</v>
      </c>
      <c r="G25" s="209"/>
      <c r="H25" s="31"/>
      <c r="I25" s="180" t="s">
        <v>97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277</v>
      </c>
      <c r="B26" s="98">
        <f>24.8*B2</f>
        <v>2728</v>
      </c>
      <c r="C26" s="31"/>
      <c r="F26" s="406">
        <f t="shared" si="4"/>
        <v>3131.7440000000001</v>
      </c>
      <c r="G26" s="209"/>
      <c r="H26" s="7"/>
    </row>
    <row r="27" spans="1:26">
      <c r="A27" s="283">
        <f>SUM(E7:E10)*F13</f>
        <v>1798557.6945055998</v>
      </c>
      <c r="B27" s="42"/>
      <c r="C27" s="7"/>
      <c r="E27" s="11"/>
      <c r="F27" s="406"/>
      <c r="H27" s="7"/>
      <c r="I27" s="173" t="s">
        <v>309</v>
      </c>
      <c r="J27" s="174">
        <v>75</v>
      </c>
      <c r="K27" s="174">
        <f>J27</f>
        <v>75</v>
      </c>
      <c r="L27" s="174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0">
        <f>F61</f>
        <v>417.04314182194616</v>
      </c>
      <c r="F28" s="406"/>
      <c r="H28" s="179"/>
      <c r="I28" s="175" t="s">
        <v>310</v>
      </c>
      <c r="J28" s="176">
        <v>1200</v>
      </c>
      <c r="K28" s="174">
        <f t="shared" ref="K28:K29" si="5">J28</f>
        <v>1200</v>
      </c>
      <c r="L28" s="176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06"/>
      <c r="G29"/>
      <c r="H29" s="31"/>
      <c r="I29" s="175" t="s">
        <v>311</v>
      </c>
      <c r="J29" s="176">
        <v>2400</v>
      </c>
      <c r="K29" s="174">
        <f t="shared" si="5"/>
        <v>2400</v>
      </c>
      <c r="L29" s="176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312</v>
      </c>
      <c r="B30" s="41"/>
      <c r="C30" s="83"/>
      <c r="F30" s="406"/>
      <c r="H30" s="31"/>
      <c r="I30" s="177" t="s">
        <v>313</v>
      </c>
      <c r="J30" s="178">
        <f>SUM(J27/(24*7)*(J28/J29))</f>
        <v>0.22321428571428573</v>
      </c>
      <c r="K30" s="178">
        <f>SUM(K27/(24*7)*(K28/K29))</f>
        <v>0.22321428571428573</v>
      </c>
      <c r="L30" s="178">
        <f>SUM(L27/(24*7)*(L28/L29))</f>
        <v>0.22321428571428573</v>
      </c>
      <c r="M30" s="178">
        <f>SUM(M27/(24*7)*(M28/M29))</f>
        <v>0.22321428571428573</v>
      </c>
    </row>
    <row r="31" spans="1:26">
      <c r="A31" s="8" t="s">
        <v>314</v>
      </c>
      <c r="C31" s="31"/>
      <c r="F31" s="406">
        <f t="shared" ref="F31:F33" si="6">SUM(E31,(E31*$F$2))</f>
        <v>0</v>
      </c>
      <c r="G31" s="209"/>
      <c r="H31" s="31"/>
      <c r="I31" s="31"/>
      <c r="J31" s="31"/>
      <c r="K31" s="31"/>
      <c r="L31" s="65"/>
      <c r="M31" s="31"/>
    </row>
    <row r="32" spans="1:26">
      <c r="A32" s="8" t="s">
        <v>293</v>
      </c>
      <c r="B32" s="42">
        <f>200*'Quality Center Profile'!E12</f>
        <v>2000</v>
      </c>
      <c r="C32" s="31"/>
      <c r="E32">
        <v>82.37</v>
      </c>
      <c r="F32" s="406">
        <f>SUM(B32,(B32*$F$2))</f>
        <v>2296</v>
      </c>
      <c r="G32" s="209"/>
      <c r="H32" s="31"/>
      <c r="I32" s="31" t="s">
        <v>315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06">
        <f t="shared" si="6"/>
        <v>17.966200000000001</v>
      </c>
      <c r="G33" s="209"/>
      <c r="H33" s="31"/>
      <c r="I33" s="31" t="s">
        <v>316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2"/>
      <c r="H34" s="25"/>
      <c r="I34" s="16"/>
      <c r="J34" s="16"/>
      <c r="K34" s="16"/>
      <c r="L34" s="16"/>
      <c r="M34" s="16"/>
    </row>
    <row r="35" spans="1:16">
      <c r="A35" s="6" t="s">
        <v>317</v>
      </c>
      <c r="B35" s="43">
        <f>SUM(B6:B33)</f>
        <v>233747.5</v>
      </c>
      <c r="C35" s="43">
        <f>SUM(B7:B10,B16:B18)</f>
        <v>89583.5</v>
      </c>
      <c r="F35" s="402"/>
      <c r="H35" s="11"/>
      <c r="I35" s="15" t="s">
        <v>318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319</v>
      </c>
      <c r="B36" s="44">
        <f>B35/B3</f>
        <v>46749.5</v>
      </c>
      <c r="C36" s="112">
        <f>C35/B35</f>
        <v>0.38324901870608241</v>
      </c>
      <c r="F36" s="402"/>
      <c r="H36" s="11"/>
      <c r="I36" s="11"/>
      <c r="J36" s="11"/>
      <c r="K36" s="11"/>
      <c r="L36" s="11"/>
      <c r="M36" s="11"/>
    </row>
    <row r="37" spans="1:16" ht="14" thickBot="1">
      <c r="A37" s="29" t="s">
        <v>217</v>
      </c>
      <c r="B37" s="44">
        <f>B35/B2</f>
        <v>2124.9772727272725</v>
      </c>
      <c r="C37" s="11"/>
      <c r="F37" s="402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2"/>
      <c r="G38" s="432"/>
      <c r="H38" s="29"/>
      <c r="I38" s="53" t="s">
        <v>320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321</v>
      </c>
      <c r="B39" s="54">
        <f>SUM(B6:B10)/B2</f>
        <v>148.94545454545454</v>
      </c>
      <c r="C39" s="31">
        <f>B39*80</f>
        <v>11915.636363636364</v>
      </c>
      <c r="E39" s="202">
        <f>SUM(E6:E14)/E2</f>
        <v>105.26046153846154</v>
      </c>
      <c r="F39" s="407">
        <f>SUM(F6:F14)/E2</f>
        <v>120.83900984615384</v>
      </c>
      <c r="G39" s="433"/>
      <c r="H39" s="29"/>
      <c r="I39" s="55" t="s">
        <v>141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322</v>
      </c>
      <c r="B40" s="56" cm="1">
        <f t="array" ref="B40">SUM((B16:B18)/B3)</f>
        <v>15299.9</v>
      </c>
      <c r="C40" s="31">
        <f>B40*4</f>
        <v>61199.6</v>
      </c>
      <c r="D40" s="202">
        <f>SUM(D16:D18)/D3</f>
        <v>13618.400770712908</v>
      </c>
      <c r="E40" s="202">
        <f>SUM(E16:E18)/E3</f>
        <v>20345.833333333332</v>
      </c>
      <c r="F40" s="407">
        <f>SUM(F16:F18)/E3</f>
        <v>23357.016666666663</v>
      </c>
      <c r="G40" s="433"/>
      <c r="H40" s="29"/>
      <c r="I40" s="55" t="s">
        <v>323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324</v>
      </c>
      <c r="B41" s="410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07">
        <f>SUM(F21:F26,F31:F33)/B2</f>
        <v>1470.2712563636364</v>
      </c>
      <c r="G41" s="433"/>
      <c r="I41" s="58"/>
      <c r="J41" s="59" t="s">
        <v>325</v>
      </c>
      <c r="K41" s="408"/>
      <c r="M41" s="59"/>
      <c r="N41" s="12"/>
    </row>
    <row r="42" spans="1:16" ht="15" thickTop="1" thickBot="1">
      <c r="A42" s="58"/>
      <c r="B42" s="59" t="s">
        <v>326</v>
      </c>
      <c r="F42" s="402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1"/>
      <c r="J48" s="110"/>
      <c r="K48" s="7"/>
    </row>
    <row r="49" spans="1:13">
      <c r="A49" s="109" t="s">
        <v>327</v>
      </c>
      <c r="B49" s="110">
        <f>'VariablesINPUT-CTR'!D32*'VariablesINPUT-CTR'!F32*12</f>
        <v>0</v>
      </c>
      <c r="H49" s="25"/>
      <c r="I49" s="181"/>
      <c r="J49" s="182"/>
      <c r="K49" s="409"/>
      <c r="L49" s="29"/>
    </row>
    <row r="50" spans="1:13" ht="28" customHeight="1">
      <c r="A50" s="109" t="s">
        <v>328</v>
      </c>
      <c r="B50" s="110">
        <f>'VariablesINPUT-CTR'!D33*B3*12</f>
        <v>0</v>
      </c>
      <c r="I50" s="604"/>
      <c r="J50" s="605"/>
      <c r="K50" s="605"/>
      <c r="L50" s="605"/>
      <c r="M50" s="605"/>
    </row>
    <row r="51" spans="1:13" ht="14" thickBot="1">
      <c r="A51" s="239"/>
      <c r="B51" s="240"/>
    </row>
    <row r="52" spans="1:13">
      <c r="A52" s="29"/>
      <c r="B52" s="44"/>
    </row>
    <row r="54" spans="1:13" ht="14" thickBot="1">
      <c r="A54" s="29"/>
    </row>
    <row r="55" spans="1:13">
      <c r="A55" s="418" t="s">
        <v>423</v>
      </c>
      <c r="B55" s="419"/>
      <c r="C55" s="420"/>
      <c r="D55" s="420"/>
      <c r="E55" s="420"/>
      <c r="F55" s="420"/>
      <c r="G55" s="421"/>
    </row>
    <row r="56" spans="1:13">
      <c r="A56" s="422"/>
      <c r="B56" s="39" t="s">
        <v>329</v>
      </c>
      <c r="D56" s="29" t="s">
        <v>275</v>
      </c>
      <c r="E56" s="29" t="s">
        <v>330</v>
      </c>
      <c r="F56" s="29" t="s">
        <v>331</v>
      </c>
      <c r="G56" s="423"/>
    </row>
    <row r="57" spans="1:13">
      <c r="A57" s="422" t="s">
        <v>332</v>
      </c>
      <c r="B57" s="38">
        <v>5435</v>
      </c>
      <c r="D57">
        <v>70</v>
      </c>
      <c r="E57">
        <v>21</v>
      </c>
      <c r="F57" s="424">
        <f>B57/E57</f>
        <v>258.8095238095238</v>
      </c>
      <c r="G57" s="423"/>
    </row>
    <row r="58" spans="1:13">
      <c r="A58" s="425"/>
      <c r="B58" s="38">
        <v>9446</v>
      </c>
      <c r="D58">
        <v>60</v>
      </c>
      <c r="E58">
        <v>20</v>
      </c>
      <c r="F58" s="424">
        <f>B58/E58</f>
        <v>472.3</v>
      </c>
      <c r="G58" s="423"/>
    </row>
    <row r="59" spans="1:13">
      <c r="A59" s="425"/>
      <c r="B59" s="38">
        <v>8983</v>
      </c>
      <c r="D59">
        <v>60</v>
      </c>
      <c r="E59">
        <v>20</v>
      </c>
      <c r="F59" s="424">
        <f>B59/E59</f>
        <v>449.15</v>
      </c>
      <c r="G59" s="423"/>
    </row>
    <row r="60" spans="1:13">
      <c r="A60" s="425"/>
      <c r="B60" s="38">
        <v>11222</v>
      </c>
      <c r="D60">
        <v>63</v>
      </c>
      <c r="E60">
        <v>23</v>
      </c>
      <c r="F60" s="424">
        <f>B60/E60</f>
        <v>487.91304347826087</v>
      </c>
      <c r="G60" s="423"/>
    </row>
    <row r="61" spans="1:13" ht="14" thickBot="1">
      <c r="A61" s="426"/>
      <c r="B61" s="427">
        <f>AVERAGE(B57:B60)</f>
        <v>8771.5</v>
      </c>
      <c r="C61" s="428"/>
      <c r="D61" s="428"/>
      <c r="E61" s="428"/>
      <c r="F61" s="427">
        <f>AVERAGE(F57:F60)</f>
        <v>417.04314182194616</v>
      </c>
      <c r="G61" s="228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F64" sqref="F64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219</v>
      </c>
      <c r="B1" s="29" t="s">
        <v>409</v>
      </c>
      <c r="C1" s="29" t="s">
        <v>333</v>
      </c>
      <c r="G1" s="29" t="s">
        <v>411</v>
      </c>
    </row>
    <row r="2" spans="1:7">
      <c r="A2" t="s">
        <v>334</v>
      </c>
      <c r="B2" s="29" t="s">
        <v>335</v>
      </c>
      <c r="C2" s="29" t="s">
        <v>1</v>
      </c>
      <c r="D2" t="s">
        <v>3</v>
      </c>
      <c r="E2" t="s">
        <v>4</v>
      </c>
      <c r="G2" s="22" t="s">
        <v>410</v>
      </c>
    </row>
    <row r="3" spans="1:7">
      <c r="A3" t="s">
        <v>336</v>
      </c>
      <c r="B3">
        <v>880</v>
      </c>
      <c r="C3">
        <f>SUM(B3,100)</f>
        <v>980</v>
      </c>
      <c r="D3">
        <f>SUM(B3,335)</f>
        <v>1215</v>
      </c>
      <c r="E3">
        <f>SUM(B3,640)</f>
        <v>1520</v>
      </c>
    </row>
    <row r="4" spans="1:7">
      <c r="A4" s="29" t="s">
        <v>337</v>
      </c>
      <c r="B4">
        <v>635</v>
      </c>
      <c r="C4">
        <f>SUM(B4,100)</f>
        <v>735</v>
      </c>
      <c r="D4">
        <f>SUM(B4,290)</f>
        <v>925</v>
      </c>
      <c r="E4">
        <f>SUM(B4,550)</f>
        <v>1185</v>
      </c>
      <c r="G4" s="29"/>
    </row>
    <row r="5" spans="1:7">
      <c r="A5" s="29" t="s">
        <v>159</v>
      </c>
      <c r="B5">
        <v>575</v>
      </c>
      <c r="C5">
        <f>SUM(B5,100)</f>
        <v>675</v>
      </c>
      <c r="D5">
        <f>SUM(B5,250)</f>
        <v>825</v>
      </c>
      <c r="E5">
        <f>SUM(B5,350)</f>
        <v>925</v>
      </c>
    </row>
    <row r="6" spans="1:7">
      <c r="A6" s="29" t="s">
        <v>160</v>
      </c>
      <c r="B6">
        <v>575</v>
      </c>
      <c r="C6">
        <f>SUM(B6,100)</f>
        <v>675</v>
      </c>
      <c r="D6">
        <f>SUM(B6,250)</f>
        <v>825</v>
      </c>
      <c r="E6">
        <f>SUM(B6,350)</f>
        <v>925</v>
      </c>
    </row>
    <row r="7" spans="1:7">
      <c r="A7" s="29" t="s">
        <v>17</v>
      </c>
      <c r="B7" s="17">
        <v>441</v>
      </c>
      <c r="C7" s="17">
        <f>SUM(B7,100)</f>
        <v>541</v>
      </c>
      <c r="D7" s="17">
        <f>SUM(B7,180)</f>
        <v>621</v>
      </c>
      <c r="E7" s="17">
        <f>SUM(B7,250)</f>
        <v>691</v>
      </c>
      <c r="G7" s="29"/>
    </row>
    <row r="9" spans="1:7">
      <c r="A9" s="29" t="s">
        <v>226</v>
      </c>
    </row>
    <row r="10" spans="1:7">
      <c r="A10" t="s">
        <v>334</v>
      </c>
      <c r="B10" s="29" t="s">
        <v>335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336</v>
      </c>
      <c r="B11">
        <v>875</v>
      </c>
      <c r="C11">
        <f>SUM(B11,130)</f>
        <v>1005</v>
      </c>
      <c r="D11">
        <f>SUM(B11,195)</f>
        <v>1070</v>
      </c>
      <c r="E11">
        <f>SUM(B11,260)</f>
        <v>1135</v>
      </c>
      <c r="G11" s="28"/>
    </row>
    <row r="12" spans="1:7">
      <c r="A12" s="29" t="s">
        <v>337</v>
      </c>
      <c r="B12">
        <v>850</v>
      </c>
      <c r="C12">
        <f>SUM(B12,130)</f>
        <v>980</v>
      </c>
      <c r="D12">
        <f>SUM(B12,195)</f>
        <v>1045</v>
      </c>
      <c r="E12">
        <f>SUM(B12,260)</f>
        <v>1110</v>
      </c>
      <c r="G12" s="28"/>
    </row>
    <row r="13" spans="1:7">
      <c r="A13" s="29" t="s">
        <v>159</v>
      </c>
      <c r="B13">
        <v>700</v>
      </c>
      <c r="C13">
        <f>SUM(B13,130)</f>
        <v>830</v>
      </c>
      <c r="D13">
        <f>SUM(B13,195)</f>
        <v>895</v>
      </c>
      <c r="E13">
        <f>SUM(B13,260)</f>
        <v>960</v>
      </c>
      <c r="G13" s="28"/>
    </row>
    <row r="14" spans="1:7">
      <c r="A14" s="29" t="s">
        <v>160</v>
      </c>
      <c r="B14">
        <v>700</v>
      </c>
      <c r="C14">
        <f>SUM(B14,130)</f>
        <v>830</v>
      </c>
      <c r="D14">
        <f>SUM(B14,180)</f>
        <v>880</v>
      </c>
      <c r="E14">
        <f>SUM(B14,260)</f>
        <v>960</v>
      </c>
    </row>
    <row r="15" spans="1:7">
      <c r="A15" s="29" t="s">
        <v>17</v>
      </c>
      <c r="B15" s="17">
        <v>412</v>
      </c>
      <c r="C15" s="17">
        <f>SUM(B15,100)</f>
        <v>512</v>
      </c>
      <c r="D15" s="17">
        <f>SUM(B15,180)</f>
        <v>592</v>
      </c>
      <c r="E15" s="17">
        <f>SUM(B15,250)</f>
        <v>662</v>
      </c>
    </row>
    <row r="18" spans="1:5">
      <c r="A18" s="29" t="s">
        <v>338</v>
      </c>
    </row>
    <row r="19" spans="1:5">
      <c r="A19" t="s">
        <v>334</v>
      </c>
      <c r="B19" s="29" t="s">
        <v>335</v>
      </c>
      <c r="C19" s="29" t="s">
        <v>1</v>
      </c>
      <c r="D19" t="s">
        <v>3</v>
      </c>
      <c r="E19" t="s">
        <v>4</v>
      </c>
    </row>
    <row r="20" spans="1:5">
      <c r="A20" t="s">
        <v>336</v>
      </c>
      <c r="B20">
        <v>855</v>
      </c>
      <c r="C20">
        <f>SUM(B20,130)</f>
        <v>985</v>
      </c>
      <c r="D20">
        <f>SUM(B20,195)</f>
        <v>1050</v>
      </c>
      <c r="E20">
        <f>SUM(B20,260)</f>
        <v>1115</v>
      </c>
    </row>
    <row r="21" spans="1:5">
      <c r="A21" s="29" t="s">
        <v>337</v>
      </c>
      <c r="B21">
        <v>830</v>
      </c>
      <c r="C21">
        <f>SUM(B21,130)</f>
        <v>960</v>
      </c>
      <c r="D21">
        <f>SUM(B21,195)</f>
        <v>1025</v>
      </c>
      <c r="E21">
        <f>SUM(B21,260)</f>
        <v>1090</v>
      </c>
    </row>
    <row r="22" spans="1:5">
      <c r="A22" s="29" t="s">
        <v>159</v>
      </c>
      <c r="B22">
        <v>680</v>
      </c>
      <c r="C22">
        <f>SUM(B22,130)</f>
        <v>810</v>
      </c>
      <c r="D22">
        <f>SUM(B22,195)</f>
        <v>875</v>
      </c>
      <c r="E22">
        <f>SUM(B22,260)</f>
        <v>940</v>
      </c>
    </row>
    <row r="23" spans="1:5">
      <c r="A23" s="29" t="s">
        <v>160</v>
      </c>
      <c r="B23">
        <v>680</v>
      </c>
      <c r="C23">
        <f>SUM(B23,130)</f>
        <v>810</v>
      </c>
      <c r="D23">
        <f>SUM(B23,180)</f>
        <v>860</v>
      </c>
      <c r="E23">
        <f>SUM(B23,260)</f>
        <v>940</v>
      </c>
    </row>
    <row r="24" spans="1:5">
      <c r="A24" s="29" t="s">
        <v>17</v>
      </c>
      <c r="B24" s="17">
        <v>428</v>
      </c>
      <c r="C24" s="17">
        <f>SUM(B24,100)</f>
        <v>528</v>
      </c>
      <c r="D24" s="17">
        <f>SUM(B24,180)</f>
        <v>608</v>
      </c>
      <c r="E24" s="17">
        <f>SUM(B24,250)</f>
        <v>678</v>
      </c>
    </row>
    <row r="25" spans="1:5">
      <c r="C25" s="17"/>
      <c r="D25" s="17"/>
      <c r="E25" s="17"/>
    </row>
    <row r="28" spans="1:5">
      <c r="B28" s="29"/>
    </row>
  </sheetData>
  <hyperlinks>
    <hyperlink ref="G2" r:id="rId1" xr:uid="{66C46F85-30AB-3849-82EC-DC831D24A71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1" bestFit="1" customWidth="1"/>
    <col min="2" max="2" width="3.83203125" style="251" customWidth="1"/>
    <col min="3" max="3" width="14" style="251" customWidth="1"/>
    <col min="4" max="4" width="13.6640625" style="251" customWidth="1"/>
    <col min="5" max="6" width="10.6640625" style="251" customWidth="1"/>
    <col min="7" max="7" width="13.6640625" style="251" customWidth="1"/>
    <col min="8" max="8" width="11.1640625" style="251" bestFit="1" customWidth="1"/>
    <col min="9" max="9" width="13.1640625" style="251" bestFit="1" customWidth="1"/>
    <col min="10" max="12" width="11.1640625" style="251" bestFit="1" customWidth="1"/>
    <col min="13" max="17" width="9.83203125" style="251" bestFit="1" customWidth="1"/>
    <col min="18" max="19" width="15.5" style="251" bestFit="1" customWidth="1"/>
    <col min="20" max="20" width="17" style="251" bestFit="1" customWidth="1"/>
    <col min="21" max="21" width="15.83203125" style="251" bestFit="1" customWidth="1"/>
    <col min="22" max="22" width="15.5" style="251" bestFit="1" customWidth="1"/>
    <col min="23" max="16384" width="7.5" style="251"/>
  </cols>
  <sheetData>
    <row r="1" spans="1:12">
      <c r="C1" s="251" t="s">
        <v>85</v>
      </c>
      <c r="D1" s="299" t="s">
        <v>339</v>
      </c>
    </row>
    <row r="2" spans="1:12" ht="15">
      <c r="A2" s="252" t="s">
        <v>340</v>
      </c>
      <c r="B2" s="253"/>
      <c r="C2" s="253"/>
      <c r="D2" s="253"/>
      <c r="E2" s="253"/>
      <c r="F2" s="253"/>
      <c r="G2" s="253"/>
      <c r="I2" s="387" t="s">
        <v>341</v>
      </c>
    </row>
    <row r="3" spans="1:12" ht="15">
      <c r="A3" s="254" t="s">
        <v>6</v>
      </c>
      <c r="B3" s="254"/>
      <c r="C3" s="255" t="s">
        <v>336</v>
      </c>
      <c r="D3" s="255" t="s">
        <v>342</v>
      </c>
      <c r="E3" s="255" t="s">
        <v>159</v>
      </c>
      <c r="F3" s="255" t="s">
        <v>159</v>
      </c>
      <c r="G3" s="255" t="s">
        <v>17</v>
      </c>
    </row>
    <row r="4" spans="1:12" ht="15">
      <c r="A4" s="256" t="s">
        <v>343</v>
      </c>
      <c r="B4" s="256"/>
      <c r="C4" s="257">
        <f>SUM((C66*$C$63),C66)</f>
        <v>863.01</v>
      </c>
      <c r="D4" s="257">
        <f t="shared" ref="D4:E4" si="0">SUM((D66*$C$63),D66)</f>
        <v>864.125</v>
      </c>
      <c r="E4" s="257">
        <f t="shared" si="0"/>
        <v>839.59500000000003</v>
      </c>
      <c r="F4" s="257">
        <f t="shared" ref="F4" si="1">SUM((F66*$C$63),F66)</f>
        <v>839.59500000000003</v>
      </c>
      <c r="G4" s="257">
        <f>SUM((G66*$C$63),G66)</f>
        <v>1170.75</v>
      </c>
    </row>
    <row r="5" spans="1:12" ht="15">
      <c r="A5" s="256" t="s">
        <v>344</v>
      </c>
      <c r="B5" s="256"/>
      <c r="C5" s="257">
        <f>SUM((C73*$C$63),C73)</f>
        <v>623.28499999999997</v>
      </c>
      <c r="D5" s="257">
        <f t="shared" ref="D5:G5" si="2">SUM((D73*$C$63),D73)</f>
        <v>623.28499999999997</v>
      </c>
      <c r="E5" s="257">
        <f t="shared" si="2"/>
        <v>623.28499999999997</v>
      </c>
      <c r="F5" s="257">
        <f t="shared" ref="F5" si="3">SUM((F73*$C$63),F73)</f>
        <v>623.28499999999997</v>
      </c>
      <c r="G5" s="257">
        <f t="shared" si="2"/>
        <v>599.87</v>
      </c>
    </row>
    <row r="6" spans="1:12" ht="15">
      <c r="A6" s="256" t="s">
        <v>345</v>
      </c>
      <c r="B6" s="256"/>
      <c r="C6" s="257">
        <f>SUM((C80*$C$63),C80)</f>
        <v>719.17499999999995</v>
      </c>
      <c r="D6" s="257">
        <f t="shared" ref="D6:G6" si="4">SUM((D80*$C$63),D80)</f>
        <v>743.70500000000004</v>
      </c>
      <c r="E6" s="257">
        <f t="shared" si="4"/>
        <v>723.63499999999999</v>
      </c>
      <c r="F6" s="257">
        <f t="shared" ref="F6" si="5">SUM((F80*$C$63),F80)</f>
        <v>723.63499999999999</v>
      </c>
      <c r="G6" s="257">
        <f t="shared" si="4"/>
        <v>665.65499999999997</v>
      </c>
    </row>
    <row r="7" spans="1:12" ht="15">
      <c r="A7" s="253"/>
      <c r="B7" s="253"/>
      <c r="C7" s="253"/>
      <c r="D7" s="253"/>
      <c r="E7" s="253"/>
      <c r="F7" s="253"/>
      <c r="G7" s="253"/>
    </row>
    <row r="8" spans="1:12" ht="15">
      <c r="A8" s="252" t="s">
        <v>346</v>
      </c>
      <c r="B8" s="253"/>
      <c r="C8" s="253" t="s">
        <v>347</v>
      </c>
      <c r="D8" s="253"/>
      <c r="E8" s="253"/>
      <c r="F8" s="253"/>
      <c r="G8" s="253"/>
      <c r="H8" s="258"/>
      <c r="I8" s="258"/>
      <c r="J8" s="258"/>
      <c r="K8" s="258"/>
      <c r="L8" s="258"/>
    </row>
    <row r="9" spans="1:12" ht="15">
      <c r="A9" s="254" t="s">
        <v>6</v>
      </c>
      <c r="B9" s="254"/>
      <c r="C9" s="255" t="s">
        <v>336</v>
      </c>
      <c r="D9" s="255" t="s">
        <v>342</v>
      </c>
      <c r="E9" s="255" t="s">
        <v>159</v>
      </c>
      <c r="F9" s="255" t="s">
        <v>159</v>
      </c>
      <c r="G9" s="255" t="s">
        <v>17</v>
      </c>
      <c r="H9" s="259"/>
      <c r="I9" s="258"/>
      <c r="J9" s="258"/>
      <c r="K9" s="258"/>
      <c r="L9" s="258"/>
    </row>
    <row r="10" spans="1:12" ht="15">
      <c r="A10" s="256" t="s">
        <v>343</v>
      </c>
      <c r="B10" s="256">
        <v>1</v>
      </c>
      <c r="C10" s="257">
        <f>SUM((C67*$C$63),C67)</f>
        <v>910.95500000000004</v>
      </c>
      <c r="D10" s="257">
        <f t="shared" ref="D10:G10" si="6">SUM((D67*$C$63),D67)</f>
        <v>1054.79</v>
      </c>
      <c r="E10" s="257">
        <f t="shared" si="6"/>
        <v>767.12</v>
      </c>
      <c r="F10" s="257">
        <f t="shared" ref="F10" si="7">SUM((F67*$C$63),F67)</f>
        <v>767.12</v>
      </c>
      <c r="G10" s="257">
        <f t="shared" si="6"/>
        <v>1109.425</v>
      </c>
      <c r="H10" s="259"/>
      <c r="I10" s="258"/>
      <c r="J10" s="258"/>
      <c r="K10" s="258"/>
      <c r="L10" s="258"/>
    </row>
    <row r="11" spans="1:12" ht="15">
      <c r="A11" s="256" t="s">
        <v>344</v>
      </c>
      <c r="B11" s="256"/>
      <c r="C11" s="257">
        <f>SUM((C74*$C$63),C74)</f>
        <v>863.01</v>
      </c>
      <c r="D11" s="257">
        <f t="shared" ref="D11:G11" si="8">SUM((D74*$C$63),D74)</f>
        <v>599.87</v>
      </c>
      <c r="E11" s="257">
        <f t="shared" si="8"/>
        <v>797.22500000000002</v>
      </c>
      <c r="F11" s="257">
        <f t="shared" ref="F11" si="9">SUM((F74*$C$63),F74)</f>
        <v>797.22500000000002</v>
      </c>
      <c r="G11" s="257">
        <f t="shared" si="8"/>
        <v>731.44</v>
      </c>
    </row>
    <row r="12" spans="1:12" ht="15">
      <c r="A12" s="256" t="s">
        <v>345</v>
      </c>
      <c r="B12" s="256"/>
      <c r="C12" s="257">
        <f>SUM((C81*$C$63),C81)</f>
        <v>675.69</v>
      </c>
      <c r="D12" s="257">
        <f t="shared" ref="D12:G12" si="10">SUM((D81*$C$63),D81)</f>
        <v>671.23</v>
      </c>
      <c r="E12" s="257">
        <f t="shared" si="10"/>
        <v>656.73500000000001</v>
      </c>
      <c r="F12" s="257">
        <f t="shared" ref="F12" si="11">SUM((F81*$C$63),F81)</f>
        <v>656.73500000000001</v>
      </c>
      <c r="G12" s="257">
        <f t="shared" si="10"/>
        <v>664.54</v>
      </c>
    </row>
    <row r="13" spans="1:12" ht="15">
      <c r="A13" s="253"/>
      <c r="B13" s="253"/>
      <c r="C13" s="253"/>
      <c r="D13" s="253"/>
      <c r="E13" s="253"/>
      <c r="F13" s="253"/>
      <c r="G13" s="253"/>
    </row>
    <row r="14" spans="1:12" ht="15">
      <c r="A14" s="252" t="s">
        <v>348</v>
      </c>
      <c r="B14" s="253"/>
      <c r="C14" s="253"/>
      <c r="D14" s="253"/>
      <c r="E14" s="253"/>
      <c r="F14" s="253"/>
      <c r="G14" s="253"/>
    </row>
    <row r="15" spans="1:12" ht="15">
      <c r="A15" s="254" t="s">
        <v>6</v>
      </c>
      <c r="B15" s="254"/>
      <c r="C15" s="255" t="s">
        <v>336</v>
      </c>
      <c r="D15" s="255" t="s">
        <v>342</v>
      </c>
      <c r="E15" s="255" t="s">
        <v>159</v>
      </c>
      <c r="F15" s="255" t="s">
        <v>159</v>
      </c>
      <c r="G15" s="255" t="s">
        <v>17</v>
      </c>
    </row>
    <row r="16" spans="1:12" ht="15">
      <c r="A16" s="256" t="s">
        <v>343</v>
      </c>
      <c r="B16" s="256"/>
      <c r="C16" s="257">
        <f>SUM((C68*$C$63),C68)</f>
        <v>918.76</v>
      </c>
      <c r="D16" s="257">
        <f t="shared" ref="D16:E16" si="12">SUM((D68*$C$63),D68)</f>
        <v>863.01</v>
      </c>
      <c r="E16" s="257">
        <f t="shared" si="12"/>
        <v>743.70500000000004</v>
      </c>
      <c r="F16" s="257">
        <f t="shared" ref="F16" si="13">SUM((F68*$C$63),F68)</f>
        <v>743.70500000000004</v>
      </c>
      <c r="G16" s="257">
        <f>SUM((G68*$C$63),G68)</f>
        <v>599.87</v>
      </c>
    </row>
    <row r="17" spans="1:7" ht="15">
      <c r="A17" s="256" t="s">
        <v>344</v>
      </c>
      <c r="B17" s="256"/>
      <c r="C17" s="257">
        <f>SUM((C75*$C$63),C75)</f>
        <v>863.01</v>
      </c>
      <c r="D17" s="257">
        <f t="shared" ref="D17:G17" si="14">SUM((D75*$C$63),D75)</f>
        <v>599.87</v>
      </c>
      <c r="E17" s="257">
        <f t="shared" si="14"/>
        <v>797.22500000000002</v>
      </c>
      <c r="F17" s="257">
        <f t="shared" ref="F17" si="15">SUM((F75*$C$63),F75)</f>
        <v>797.22500000000002</v>
      </c>
      <c r="G17" s="257">
        <f t="shared" si="14"/>
        <v>731.44</v>
      </c>
    </row>
    <row r="18" spans="1:7" ht="15">
      <c r="A18" s="256" t="s">
        <v>345</v>
      </c>
      <c r="B18" s="256"/>
      <c r="C18" s="257">
        <f>SUM((C82*$C$63),C82)</f>
        <v>575.34</v>
      </c>
      <c r="D18" s="257">
        <f t="shared" ref="D18:G18" si="16">SUM((D82*$C$63),D82)</f>
        <v>575.34</v>
      </c>
      <c r="E18" s="257">
        <f t="shared" si="16"/>
        <v>527.39499999999998</v>
      </c>
      <c r="F18" s="257">
        <f t="shared" ref="F18" si="17">SUM((F82*$C$63),F82)</f>
        <v>527.39499999999998</v>
      </c>
      <c r="G18" s="257">
        <f t="shared" si="16"/>
        <v>527.39499999999998</v>
      </c>
    </row>
    <row r="19" spans="1:7" ht="15">
      <c r="A19" s="253"/>
      <c r="B19" s="253"/>
      <c r="C19" s="253"/>
      <c r="D19" s="253"/>
      <c r="E19" s="253"/>
      <c r="F19" s="253"/>
      <c r="G19" s="253"/>
    </row>
    <row r="20" spans="1:7" ht="15">
      <c r="A20" s="252" t="s">
        <v>349</v>
      </c>
      <c r="B20" s="253"/>
      <c r="C20" s="253"/>
      <c r="D20" s="253"/>
      <c r="E20" s="253"/>
      <c r="F20" s="253"/>
      <c r="G20" s="253"/>
    </row>
    <row r="21" spans="1:7" ht="15">
      <c r="A21" s="254"/>
      <c r="B21" s="254"/>
      <c r="C21" s="255" t="s">
        <v>336</v>
      </c>
      <c r="D21" s="255" t="s">
        <v>342</v>
      </c>
      <c r="E21" s="255" t="s">
        <v>159</v>
      </c>
      <c r="F21" s="255" t="s">
        <v>159</v>
      </c>
      <c r="G21" s="255" t="s">
        <v>17</v>
      </c>
    </row>
    <row r="22" spans="1:7" ht="15">
      <c r="A22" s="256" t="s">
        <v>343</v>
      </c>
      <c r="B22" s="256"/>
      <c r="C22" s="257">
        <f>SUM((C69*$C$63),C69)</f>
        <v>892</v>
      </c>
      <c r="D22" s="257">
        <f t="shared" ref="D22:G22" si="18">SUM((D69*$C$63),D68)</f>
        <v>855.65</v>
      </c>
      <c r="E22" s="257">
        <f t="shared" si="18"/>
        <v>741.17499999999995</v>
      </c>
      <c r="F22" s="257">
        <f t="shared" ref="F22" si="19">SUM((F69*$C$63),F68)</f>
        <v>741.17499999999995</v>
      </c>
      <c r="G22" s="257">
        <f t="shared" si="18"/>
        <v>603.78</v>
      </c>
    </row>
    <row r="23" spans="1:7" ht="15">
      <c r="A23" s="256" t="s">
        <v>344</v>
      </c>
      <c r="B23" s="256"/>
      <c r="C23" s="257">
        <f>SUM((C76*$C$63),C76)</f>
        <v>719.17499999999995</v>
      </c>
      <c r="D23" s="257">
        <f t="shared" ref="D23:G23" si="20">SUM((D76*$C$63),D76)</f>
        <v>719.17499999999995</v>
      </c>
      <c r="E23" s="257">
        <f t="shared" si="20"/>
        <v>719.17499999999995</v>
      </c>
      <c r="F23" s="257">
        <f t="shared" ref="F23" si="21">SUM((F76*$C$63),F76)</f>
        <v>719.17499999999995</v>
      </c>
      <c r="G23" s="257">
        <f t="shared" si="20"/>
        <v>657.85</v>
      </c>
    </row>
    <row r="24" spans="1:7" ht="15">
      <c r="A24" s="256" t="s">
        <v>345</v>
      </c>
      <c r="B24" s="256"/>
      <c r="C24" s="257">
        <f>SUM((C83*$C$63),C83)</f>
        <v>535.20000000000005</v>
      </c>
      <c r="D24" s="257">
        <f t="shared" ref="D24:G24" si="22">SUM((D83*$C$63),D83)</f>
        <v>535.20000000000005</v>
      </c>
      <c r="E24" s="257">
        <f t="shared" si="22"/>
        <v>535.20000000000005</v>
      </c>
      <c r="F24" s="257">
        <f t="shared" ref="F24" si="23">SUM((F83*$C$63),F83)</f>
        <v>535.20000000000005</v>
      </c>
      <c r="G24" s="257">
        <f t="shared" si="22"/>
        <v>535.20000000000005</v>
      </c>
    </row>
    <row r="25" spans="1:7" ht="15">
      <c r="A25" s="253"/>
      <c r="B25" s="253"/>
      <c r="C25" s="253"/>
      <c r="D25" s="253"/>
      <c r="E25" s="253"/>
      <c r="F25" s="253"/>
      <c r="G25" s="253"/>
    </row>
    <row r="26" spans="1:7" ht="15">
      <c r="A26" s="252" t="s">
        <v>350</v>
      </c>
      <c r="B26" s="253"/>
      <c r="C26" s="253"/>
      <c r="D26" s="253"/>
      <c r="E26" s="253"/>
      <c r="F26" s="253"/>
      <c r="G26" s="253"/>
    </row>
    <row r="27" spans="1:7" ht="15">
      <c r="A27" s="254"/>
      <c r="B27" s="254"/>
      <c r="C27" s="255" t="s">
        <v>336</v>
      </c>
      <c r="D27" s="255" t="s">
        <v>342</v>
      </c>
      <c r="E27" s="255" t="s">
        <v>159</v>
      </c>
      <c r="F27" s="255" t="s">
        <v>159</v>
      </c>
      <c r="G27" s="255" t="s">
        <v>17</v>
      </c>
    </row>
    <row r="28" spans="1:7" ht="15">
      <c r="A28" s="256" t="s">
        <v>343</v>
      </c>
      <c r="B28" s="256"/>
      <c r="C28" s="257">
        <f>SUM((C70*$C$63),C70)</f>
        <v>1112.77</v>
      </c>
      <c r="D28" s="257">
        <f t="shared" ref="D28:G28" si="24">SUM((D70*$C$63),D70)</f>
        <v>1069.2850000000001</v>
      </c>
      <c r="E28" s="257">
        <f t="shared" si="24"/>
        <v>996.81</v>
      </c>
      <c r="F28" s="257">
        <f t="shared" ref="F28" si="25">SUM((F70*$C$63),F70)</f>
        <v>996.81</v>
      </c>
      <c r="G28" s="257">
        <f t="shared" si="24"/>
        <v>719.17499999999995</v>
      </c>
    </row>
    <row r="29" spans="1:7" ht="15">
      <c r="A29" s="256" t="s">
        <v>344</v>
      </c>
      <c r="B29" s="256"/>
      <c r="C29" s="257">
        <f>SUM((C77*$C$63),C77)</f>
        <v>575.34</v>
      </c>
      <c r="D29" s="257">
        <f t="shared" ref="D29:G29" si="26">SUM((D77*$C$63),D77)</f>
        <v>719.17499999999995</v>
      </c>
      <c r="E29" s="257">
        <f t="shared" si="26"/>
        <v>719.17499999999995</v>
      </c>
      <c r="F29" s="257">
        <f t="shared" ref="F29" si="27">SUM((F77*$C$63),F77)</f>
        <v>719.17499999999995</v>
      </c>
      <c r="G29" s="257">
        <f t="shared" si="26"/>
        <v>657.85</v>
      </c>
    </row>
    <row r="30" spans="1:7" ht="15">
      <c r="A30" s="256" t="s">
        <v>345</v>
      </c>
      <c r="B30" s="256"/>
      <c r="C30" s="257">
        <f>SUM((C84*$C$63),C84)</f>
        <v>535.20000000000005</v>
      </c>
      <c r="D30" s="257">
        <f t="shared" ref="D30:G30" si="28">SUM((D84*$C$63),D84)</f>
        <v>535.20000000000005</v>
      </c>
      <c r="E30" s="257">
        <f t="shared" si="28"/>
        <v>535.20000000000005</v>
      </c>
      <c r="F30" s="257">
        <f t="shared" ref="F30" si="29">SUM((F84*$C$63),F84)</f>
        <v>535.20000000000005</v>
      </c>
      <c r="G30" s="257">
        <f t="shared" si="28"/>
        <v>535.20000000000005</v>
      </c>
    </row>
    <row r="31" spans="1:7" ht="15">
      <c r="A31" s="253"/>
      <c r="B31" s="253"/>
      <c r="C31" s="258"/>
      <c r="D31" s="258"/>
      <c r="E31" s="258"/>
      <c r="F31" s="258"/>
      <c r="G31" s="258"/>
    </row>
    <row r="32" spans="1:7" ht="15">
      <c r="A32" s="253" t="s">
        <v>351</v>
      </c>
      <c r="B32" s="253"/>
      <c r="C32" s="258"/>
      <c r="D32" s="258"/>
      <c r="E32" s="258"/>
      <c r="F32" s="258"/>
      <c r="G32" s="258"/>
    </row>
    <row r="33" spans="1:12" ht="15">
      <c r="A33" s="368" t="s">
        <v>340</v>
      </c>
      <c r="B33" s="253"/>
      <c r="C33" s="253"/>
      <c r="D33" s="253"/>
      <c r="E33" s="253"/>
      <c r="F33" s="253"/>
      <c r="G33" s="253"/>
    </row>
    <row r="34" spans="1:12" ht="15">
      <c r="A34" s="254" t="s">
        <v>6</v>
      </c>
      <c r="B34" s="254"/>
      <c r="C34" s="255" t="s">
        <v>336</v>
      </c>
      <c r="D34" s="255" t="s">
        <v>342</v>
      </c>
      <c r="E34" s="255" t="s">
        <v>159</v>
      </c>
      <c r="F34" s="255" t="s">
        <v>159</v>
      </c>
      <c r="G34" s="255" t="s">
        <v>17</v>
      </c>
    </row>
    <row r="35" spans="1:12" ht="15">
      <c r="A35" s="256" t="s">
        <v>343</v>
      </c>
      <c r="B35" s="256"/>
      <c r="C35" s="257">
        <f>SUM((C89*$C$63),C89)</f>
        <v>669</v>
      </c>
      <c r="D35" s="257">
        <f t="shared" ref="D35:F35" si="30">SUM((D89*$C$63),D89)</f>
        <v>623.28499999999997</v>
      </c>
      <c r="E35" s="257">
        <f t="shared" si="30"/>
        <v>599.87</v>
      </c>
      <c r="F35" s="257">
        <f t="shared" si="30"/>
        <v>599.87</v>
      </c>
      <c r="G35" s="257">
        <f>SUM((G89*$C$63),G89)</f>
        <v>599.87</v>
      </c>
    </row>
    <row r="36" spans="1:12" ht="15">
      <c r="A36" s="256" t="s">
        <v>344</v>
      </c>
      <c r="B36" s="256"/>
      <c r="C36" s="257">
        <f>SUM((C96*$C$63),C96)</f>
        <v>719.17499999999995</v>
      </c>
      <c r="D36" s="257">
        <f t="shared" ref="D36:G36" si="31">SUM((D96*$C$63),D96)</f>
        <v>657.85</v>
      </c>
      <c r="E36" s="257">
        <f t="shared" si="31"/>
        <v>623.28499999999997</v>
      </c>
      <c r="F36" s="257">
        <f>SUM((F96*$C$63),F96)</f>
        <v>623.28499999999997</v>
      </c>
      <c r="G36" s="257">
        <f t="shared" si="31"/>
        <v>669</v>
      </c>
    </row>
    <row r="37" spans="1:12" ht="15">
      <c r="A37" s="256" t="s">
        <v>345</v>
      </c>
      <c r="B37" s="256"/>
      <c r="C37" s="257">
        <f>SUM((C103*$C$63),C103)</f>
        <v>623.28499999999997</v>
      </c>
      <c r="D37" s="257">
        <f t="shared" ref="D37:F37" si="32">SUM((D103*$C$63),D103)</f>
        <v>599.87</v>
      </c>
      <c r="E37" s="257">
        <f t="shared" si="32"/>
        <v>599.87</v>
      </c>
      <c r="F37" s="257">
        <f t="shared" si="32"/>
        <v>599.87</v>
      </c>
      <c r="G37" s="257">
        <f>SUM((G103*$C$63),G103)</f>
        <v>599.87</v>
      </c>
    </row>
    <row r="38" spans="1:12" ht="15">
      <c r="A38" s="253"/>
      <c r="B38" s="253"/>
      <c r="C38" s="253"/>
      <c r="D38" s="253"/>
      <c r="E38" s="253"/>
      <c r="F38" s="253"/>
      <c r="G38" s="253"/>
    </row>
    <row r="39" spans="1:12" ht="15">
      <c r="A39" s="368" t="s">
        <v>346</v>
      </c>
      <c r="B39" s="253"/>
      <c r="C39" s="253" t="s">
        <v>347</v>
      </c>
      <c r="D39" s="253"/>
      <c r="E39" s="253"/>
      <c r="F39" s="253"/>
      <c r="G39" s="253"/>
      <c r="H39" s="258"/>
      <c r="I39" s="258"/>
      <c r="J39" s="258"/>
      <c r="K39" s="258"/>
      <c r="L39" s="258"/>
    </row>
    <row r="40" spans="1:12" ht="15">
      <c r="A40" s="254" t="s">
        <v>6</v>
      </c>
      <c r="B40" s="254"/>
      <c r="C40" s="255" t="s">
        <v>336</v>
      </c>
      <c r="D40" s="255" t="s">
        <v>342</v>
      </c>
      <c r="E40" s="255" t="s">
        <v>159</v>
      </c>
      <c r="F40" s="255" t="s">
        <v>159</v>
      </c>
      <c r="G40" s="255" t="s">
        <v>17</v>
      </c>
      <c r="H40" s="259"/>
      <c r="I40" s="258"/>
      <c r="J40" s="258"/>
      <c r="K40" s="258"/>
      <c r="L40" s="258"/>
    </row>
    <row r="41" spans="1:12" ht="15">
      <c r="A41" s="256" t="s">
        <v>343</v>
      </c>
      <c r="B41" s="256">
        <v>1</v>
      </c>
      <c r="C41" s="257">
        <f>SUM((C90*$C$63),C90)</f>
        <v>685.72500000000002</v>
      </c>
      <c r="D41" s="257">
        <f t="shared" ref="D41:G41" si="33">SUM((D90*$C$63),D90)</f>
        <v>719.17499999999995</v>
      </c>
      <c r="E41" s="257">
        <f t="shared" si="33"/>
        <v>556.38499999999999</v>
      </c>
      <c r="F41" s="257">
        <f t="shared" si="33"/>
        <v>556.38499999999999</v>
      </c>
      <c r="G41" s="257">
        <f t="shared" si="33"/>
        <v>521.82000000000005</v>
      </c>
      <c r="H41" s="259"/>
      <c r="I41" s="258"/>
      <c r="J41" s="258"/>
      <c r="K41" s="258"/>
      <c r="L41" s="258"/>
    </row>
    <row r="42" spans="1:12" ht="15">
      <c r="A42" s="256" t="s">
        <v>344</v>
      </c>
      <c r="B42" s="256"/>
      <c r="C42" s="257">
        <f>SUM((C97*$C$63),C97)</f>
        <v>839.59500000000003</v>
      </c>
      <c r="D42" s="257">
        <f t="shared" ref="D42:G42" si="34">SUM((D97*$C$63),D97)</f>
        <v>599.87</v>
      </c>
      <c r="E42" s="257">
        <f t="shared" si="34"/>
        <v>599.87</v>
      </c>
      <c r="F42" s="257">
        <f t="shared" si="34"/>
        <v>599.87</v>
      </c>
      <c r="G42" s="257">
        <f t="shared" si="34"/>
        <v>599.87</v>
      </c>
    </row>
    <row r="43" spans="1:12" ht="15">
      <c r="A43" s="256" t="s">
        <v>345</v>
      </c>
      <c r="B43" s="256"/>
      <c r="C43" s="257">
        <f>SUM((C104*$C$63),C104)</f>
        <v>623.28499999999997</v>
      </c>
      <c r="D43" s="257">
        <f t="shared" ref="D43:F43" si="35">SUM((D104*$C$63),D104)</f>
        <v>623.28499999999997</v>
      </c>
      <c r="E43" s="257">
        <f t="shared" si="35"/>
        <v>599.87</v>
      </c>
      <c r="F43" s="257">
        <f t="shared" si="35"/>
        <v>599.87</v>
      </c>
      <c r="G43" s="257">
        <f>SUM((G104*$C$63),G104)</f>
        <v>479.45</v>
      </c>
    </row>
    <row r="44" spans="1:12" ht="15">
      <c r="A44" s="253"/>
      <c r="B44" s="253"/>
      <c r="C44" s="253"/>
      <c r="D44" s="253"/>
      <c r="E44" s="253"/>
      <c r="F44" s="253"/>
      <c r="G44" s="253"/>
    </row>
    <row r="45" spans="1:12" ht="15">
      <c r="A45" s="368" t="s">
        <v>348</v>
      </c>
      <c r="B45" s="253"/>
      <c r="C45" s="253"/>
      <c r="D45" s="253"/>
      <c r="E45" s="253"/>
      <c r="F45" s="253"/>
      <c r="G45" s="253"/>
    </row>
    <row r="46" spans="1:12" ht="15">
      <c r="A46" s="254" t="s">
        <v>6</v>
      </c>
      <c r="B46" s="254"/>
      <c r="C46" s="255" t="s">
        <v>336</v>
      </c>
      <c r="D46" s="255" t="s">
        <v>342</v>
      </c>
      <c r="E46" s="255" t="s">
        <v>159</v>
      </c>
      <c r="F46" s="255" t="s">
        <v>159</v>
      </c>
      <c r="G46" s="255" t="s">
        <v>17</v>
      </c>
    </row>
    <row r="47" spans="1:12" ht="15">
      <c r="A47" s="256" t="s">
        <v>343</v>
      </c>
      <c r="B47" s="256"/>
      <c r="C47" s="257">
        <f>SUM((C91*$C$63),C91)</f>
        <v>635.54999999999995</v>
      </c>
      <c r="D47" s="257">
        <f t="shared" ref="D47:F47" si="36">SUM((D91*$C$63),D91)</f>
        <v>623.28499999999997</v>
      </c>
      <c r="E47" s="257">
        <f t="shared" si="36"/>
        <v>623.28499999999997</v>
      </c>
      <c r="F47" s="257">
        <f t="shared" si="36"/>
        <v>623.28499999999997</v>
      </c>
      <c r="G47" s="257">
        <f>SUM((G91*$C$63),G91)</f>
        <v>599.87</v>
      </c>
    </row>
    <row r="48" spans="1:12" ht="15">
      <c r="A48" s="256" t="s">
        <v>344</v>
      </c>
      <c r="B48" s="256"/>
      <c r="C48" s="257">
        <f>SUM((C98*$C$63),C98)</f>
        <v>743.70500000000004</v>
      </c>
      <c r="D48" s="257">
        <f t="shared" ref="D48:F48" si="37">SUM((D98*$C$63),D98)</f>
        <v>657.85</v>
      </c>
      <c r="E48" s="257">
        <f t="shared" si="37"/>
        <v>647.81500000000005</v>
      </c>
      <c r="F48" s="257">
        <f t="shared" si="37"/>
        <v>647.81500000000005</v>
      </c>
      <c r="G48" s="257">
        <f>SUM((G98*$C$63),G98)</f>
        <v>647.81500000000005</v>
      </c>
    </row>
    <row r="49" spans="1:7" ht="15">
      <c r="A49" s="256" t="s">
        <v>345</v>
      </c>
      <c r="B49" s="256"/>
      <c r="C49" s="257">
        <f>SUM((C105*$C$63),C105)</f>
        <v>719.17499999999995</v>
      </c>
      <c r="D49" s="257">
        <f t="shared" ref="D49:F49" si="38">SUM((D105*$C$63),D105)</f>
        <v>623.28499999999997</v>
      </c>
      <c r="E49" s="257">
        <f t="shared" si="38"/>
        <v>599.87</v>
      </c>
      <c r="F49" s="257">
        <f t="shared" si="38"/>
        <v>599.87</v>
      </c>
      <c r="G49" s="257">
        <f>SUM((G105*$C$63),G105)</f>
        <v>479.45</v>
      </c>
    </row>
    <row r="50" spans="1:7" ht="15">
      <c r="A50" s="253"/>
      <c r="B50" s="253"/>
      <c r="C50" s="253"/>
      <c r="D50" s="253"/>
      <c r="E50" s="253"/>
      <c r="F50" s="253"/>
      <c r="G50" s="253"/>
    </row>
    <row r="51" spans="1:7" ht="15">
      <c r="A51" s="368" t="s">
        <v>349</v>
      </c>
      <c r="B51" s="253"/>
      <c r="C51" s="253"/>
      <c r="D51" s="253"/>
      <c r="E51" s="253"/>
      <c r="F51" s="253"/>
      <c r="G51" s="253"/>
    </row>
    <row r="52" spans="1:7" ht="15">
      <c r="A52" s="254" t="s">
        <v>6</v>
      </c>
      <c r="B52" s="254"/>
      <c r="C52" s="255" t="s">
        <v>336</v>
      </c>
      <c r="D52" s="255" t="s">
        <v>342</v>
      </c>
      <c r="E52" s="255" t="s">
        <v>159</v>
      </c>
      <c r="F52" s="255" t="s">
        <v>159</v>
      </c>
      <c r="G52" s="255" t="s">
        <v>17</v>
      </c>
    </row>
    <row r="53" spans="1:7" ht="15">
      <c r="A53" s="256" t="s">
        <v>343</v>
      </c>
      <c r="B53" s="256"/>
      <c r="C53" s="257">
        <f>SUM((C92*$C$63),C92)</f>
        <v>647.81500000000005</v>
      </c>
      <c r="D53" s="257">
        <f t="shared" ref="D53:G53" si="39">SUM((D92*$C$63),D92)</f>
        <v>647.81500000000005</v>
      </c>
      <c r="E53" s="257">
        <f t="shared" si="39"/>
        <v>623.28499999999997</v>
      </c>
      <c r="F53" s="257">
        <f t="shared" si="39"/>
        <v>623.28499999999997</v>
      </c>
      <c r="G53" s="257">
        <f t="shared" si="39"/>
        <v>527.39499999999998</v>
      </c>
    </row>
    <row r="54" spans="1:7" ht="15">
      <c r="A54" s="256" t="s">
        <v>344</v>
      </c>
      <c r="B54" s="256"/>
      <c r="C54" s="257">
        <f>SUM((C99*$C$63),C99)</f>
        <v>239.72499999999999</v>
      </c>
      <c r="D54" s="257">
        <f t="shared" ref="D54:G54" si="40">SUM((D99*$C$63),D99)</f>
        <v>239.72499999999999</v>
      </c>
      <c r="E54" s="257">
        <f t="shared" si="40"/>
        <v>239.72499999999999</v>
      </c>
      <c r="F54" s="257">
        <f t="shared" si="40"/>
        <v>239.72499999999999</v>
      </c>
      <c r="G54" s="257">
        <f t="shared" si="40"/>
        <v>239.72499999999999</v>
      </c>
    </row>
    <row r="55" spans="1:7" ht="15">
      <c r="A55" s="256" t="s">
        <v>345</v>
      </c>
      <c r="B55" s="256"/>
      <c r="C55" s="257">
        <f>SUM((C106*$C$63),C106)</f>
        <v>575.34</v>
      </c>
      <c r="D55" s="257">
        <f t="shared" ref="D55:G55" si="41">SUM((D106*$C$63),D106)</f>
        <v>575.34</v>
      </c>
      <c r="E55" s="257">
        <f t="shared" si="41"/>
        <v>479.45</v>
      </c>
      <c r="F55" s="257">
        <f t="shared" si="41"/>
        <v>479.45</v>
      </c>
      <c r="G55" s="257">
        <f t="shared" si="41"/>
        <v>479.45</v>
      </c>
    </row>
    <row r="56" spans="1:7" ht="15">
      <c r="A56" s="253"/>
      <c r="B56" s="253"/>
      <c r="C56" s="253"/>
      <c r="D56" s="253"/>
      <c r="E56" s="253"/>
      <c r="F56" s="253"/>
      <c r="G56" s="253"/>
    </row>
    <row r="57" spans="1:7" ht="15">
      <c r="A57" s="368" t="s">
        <v>350</v>
      </c>
      <c r="B57" s="253"/>
      <c r="C57" s="253"/>
      <c r="D57" s="253"/>
      <c r="E57" s="253"/>
      <c r="F57" s="253"/>
      <c r="G57" s="253"/>
    </row>
    <row r="58" spans="1:7" ht="15">
      <c r="A58" s="254" t="s">
        <v>6</v>
      </c>
      <c r="B58" s="254"/>
      <c r="C58" s="255" t="s">
        <v>336</v>
      </c>
      <c r="D58" s="255" t="s">
        <v>342</v>
      </c>
      <c r="E58" s="255" t="s">
        <v>159</v>
      </c>
      <c r="F58" s="255" t="s">
        <v>159</v>
      </c>
      <c r="G58" s="255" t="s">
        <v>17</v>
      </c>
    </row>
    <row r="59" spans="1:7" ht="15">
      <c r="A59" s="256" t="s">
        <v>343</v>
      </c>
      <c r="B59" s="256"/>
      <c r="C59" s="257">
        <f>SUM((C93*$C$63),C93)</f>
        <v>709.14</v>
      </c>
      <c r="D59" s="257">
        <f t="shared" ref="D59:G59" si="42">SUM((D93*$C$63),D93)</f>
        <v>647.81500000000005</v>
      </c>
      <c r="E59" s="257">
        <f t="shared" si="42"/>
        <v>623.28499999999997</v>
      </c>
      <c r="F59" s="257">
        <f t="shared" si="42"/>
        <v>623.28499999999997</v>
      </c>
      <c r="G59" s="257">
        <f t="shared" si="42"/>
        <v>431.505</v>
      </c>
    </row>
    <row r="60" spans="1:7" ht="15">
      <c r="A60" s="256" t="s">
        <v>344</v>
      </c>
      <c r="B60" s="256"/>
      <c r="C60" s="257">
        <f>SUM((C100*$C$63),C100)</f>
        <v>1006.845</v>
      </c>
      <c r="D60" s="257">
        <f t="shared" ref="D60:G60" si="43">SUM((D100*$C$63),D100)</f>
        <v>538.82375000000002</v>
      </c>
      <c r="E60" s="257">
        <f t="shared" si="43"/>
        <v>527.67375000000004</v>
      </c>
      <c r="F60" s="257">
        <f t="shared" si="43"/>
        <v>527.67375000000004</v>
      </c>
      <c r="G60" s="257">
        <f t="shared" si="43"/>
        <v>539.10249999999996</v>
      </c>
    </row>
    <row r="61" spans="1:7" ht="15">
      <c r="A61" s="256" t="s">
        <v>345</v>
      </c>
      <c r="B61" s="256"/>
      <c r="C61" s="257">
        <f>SUM((C107*$C$63),C107)</f>
        <v>605.44500000000005</v>
      </c>
      <c r="D61" s="257">
        <f t="shared" ref="D61:G61" si="44">SUM((D107*$C$63),D107)</f>
        <v>605.44500000000005</v>
      </c>
      <c r="E61" s="257">
        <f t="shared" si="44"/>
        <v>569.76499999999999</v>
      </c>
      <c r="F61" s="257">
        <f t="shared" si="44"/>
        <v>569.76499999999999</v>
      </c>
      <c r="G61" s="257">
        <f t="shared" si="44"/>
        <v>509.55500000000001</v>
      </c>
    </row>
    <row r="63" spans="1:7">
      <c r="C63" s="297">
        <v>0.115</v>
      </c>
      <c r="D63" s="298" t="s">
        <v>417</v>
      </c>
      <c r="G63" s="251" t="s">
        <v>418</v>
      </c>
    </row>
    <row r="64" spans="1:7">
      <c r="A64" s="251" t="s">
        <v>352</v>
      </c>
    </row>
    <row r="65" spans="1:12" ht="15">
      <c r="A65" s="296" t="s">
        <v>343</v>
      </c>
      <c r="B65" s="296"/>
      <c r="C65" s="296" t="s">
        <v>336</v>
      </c>
      <c r="D65" s="296" t="s">
        <v>342</v>
      </c>
      <c r="E65" s="255" t="s">
        <v>159</v>
      </c>
      <c r="F65" s="255" t="s">
        <v>160</v>
      </c>
      <c r="G65" s="296" t="s">
        <v>17</v>
      </c>
    </row>
    <row r="66" spans="1:12">
      <c r="A66" s="295" t="s">
        <v>353</v>
      </c>
      <c r="B66" s="295"/>
      <c r="C66" s="295">
        <v>774</v>
      </c>
      <c r="D66" s="295">
        <v>775</v>
      </c>
      <c r="E66" s="295">
        <v>753</v>
      </c>
      <c r="F66" s="295">
        <v>753</v>
      </c>
      <c r="G66" s="295">
        <v>1050</v>
      </c>
    </row>
    <row r="67" spans="1:12">
      <c r="A67" s="295" t="s">
        <v>354</v>
      </c>
      <c r="B67" s="295"/>
      <c r="C67" s="295">
        <v>817</v>
      </c>
      <c r="D67" s="295">
        <v>946</v>
      </c>
      <c r="E67" s="295">
        <v>688</v>
      </c>
      <c r="F67" s="295">
        <v>688</v>
      </c>
      <c r="G67" s="295">
        <v>995</v>
      </c>
    </row>
    <row r="68" spans="1:12">
      <c r="A68" s="295" t="s">
        <v>248</v>
      </c>
      <c r="B68" s="295"/>
      <c r="C68" s="295">
        <v>824</v>
      </c>
      <c r="D68" s="295">
        <v>774</v>
      </c>
      <c r="E68" s="295">
        <v>667</v>
      </c>
      <c r="F68" s="295">
        <v>667</v>
      </c>
      <c r="G68" s="295">
        <v>538</v>
      </c>
    </row>
    <row r="69" spans="1:12">
      <c r="A69" s="295" t="s">
        <v>220</v>
      </c>
      <c r="B69" s="295"/>
      <c r="C69" s="295">
        <v>800</v>
      </c>
      <c r="D69" s="295">
        <v>710</v>
      </c>
      <c r="E69" s="295">
        <v>645</v>
      </c>
      <c r="F69" s="295">
        <v>645</v>
      </c>
      <c r="G69" s="295">
        <v>572</v>
      </c>
    </row>
    <row r="70" spans="1:12">
      <c r="A70" s="295" t="s">
        <v>221</v>
      </c>
      <c r="B70" s="295"/>
      <c r="C70" s="295">
        <v>998</v>
      </c>
      <c r="D70" s="295">
        <v>959</v>
      </c>
      <c r="E70" s="295">
        <v>894</v>
      </c>
      <c r="F70" s="295">
        <v>894</v>
      </c>
      <c r="G70" s="295">
        <v>645</v>
      </c>
    </row>
    <row r="72" spans="1:12" ht="15">
      <c r="A72" s="296" t="s">
        <v>355</v>
      </c>
      <c r="B72" s="296"/>
      <c r="C72" s="296" t="s">
        <v>336</v>
      </c>
      <c r="D72" s="296" t="s">
        <v>342</v>
      </c>
      <c r="E72" s="255" t="s">
        <v>159</v>
      </c>
      <c r="F72" s="255" t="s">
        <v>160</v>
      </c>
      <c r="G72" s="296" t="s">
        <v>17</v>
      </c>
    </row>
    <row r="73" spans="1:12">
      <c r="A73" s="295" t="s">
        <v>353</v>
      </c>
      <c r="B73" s="295"/>
      <c r="C73" s="295">
        <v>559</v>
      </c>
      <c r="D73" s="295">
        <v>559</v>
      </c>
      <c r="E73" s="295">
        <v>559</v>
      </c>
      <c r="F73" s="295">
        <v>559</v>
      </c>
      <c r="G73" s="295">
        <v>538</v>
      </c>
    </row>
    <row r="74" spans="1:12">
      <c r="A74" s="295" t="s">
        <v>354</v>
      </c>
      <c r="B74" s="295"/>
      <c r="C74" s="295">
        <v>774</v>
      </c>
      <c r="D74" s="295">
        <v>538</v>
      </c>
      <c r="E74" s="295">
        <v>715</v>
      </c>
      <c r="F74" s="295">
        <v>715</v>
      </c>
      <c r="G74" s="295">
        <v>656</v>
      </c>
    </row>
    <row r="75" spans="1:12">
      <c r="A75" s="295" t="s">
        <v>248</v>
      </c>
      <c r="B75" s="295" t="s">
        <v>356</v>
      </c>
      <c r="C75" s="295">
        <v>774</v>
      </c>
      <c r="D75" s="295">
        <v>538</v>
      </c>
      <c r="E75" s="295">
        <v>715</v>
      </c>
      <c r="F75" s="295">
        <v>715</v>
      </c>
      <c r="G75" s="295">
        <v>656</v>
      </c>
    </row>
    <row r="76" spans="1:12">
      <c r="A76" s="295" t="s">
        <v>220</v>
      </c>
      <c r="B76" s="295"/>
      <c r="C76" s="295">
        <v>645</v>
      </c>
      <c r="D76" s="295">
        <v>645</v>
      </c>
      <c r="E76" s="295">
        <v>645</v>
      </c>
      <c r="F76" s="295">
        <v>645</v>
      </c>
      <c r="G76" s="295">
        <v>590</v>
      </c>
    </row>
    <row r="77" spans="1:12">
      <c r="A77" s="295" t="s">
        <v>221</v>
      </c>
      <c r="B77" s="295"/>
      <c r="C77" s="295">
        <v>516</v>
      </c>
      <c r="D77" s="295">
        <v>645</v>
      </c>
      <c r="E77" s="295">
        <v>645</v>
      </c>
      <c r="F77" s="295">
        <v>645</v>
      </c>
      <c r="G77" s="295">
        <v>590</v>
      </c>
      <c r="I77" s="251" t="s">
        <v>158</v>
      </c>
      <c r="J77" s="251" t="s">
        <v>357</v>
      </c>
      <c r="K77" s="251" t="s">
        <v>358</v>
      </c>
      <c r="L77" s="251" t="s">
        <v>359</v>
      </c>
    </row>
    <row r="78" spans="1:12">
      <c r="C78" s="251">
        <f>SUM(C73:C77)/5</f>
        <v>653.6</v>
      </c>
      <c r="D78" s="251">
        <f>SUM(D73:D77)/5</f>
        <v>585</v>
      </c>
      <c r="E78" s="251">
        <f>SUM(E73:E77)/5</f>
        <v>655.8</v>
      </c>
      <c r="F78" s="251">
        <f>SUM(F73:F77)/5</f>
        <v>655.8</v>
      </c>
      <c r="G78" s="251">
        <f>SUM(G73:G77)/5</f>
        <v>606</v>
      </c>
      <c r="I78" s="389">
        <f>(C78-D78)/C78</f>
        <v>0.10495716034271729</v>
      </c>
      <c r="J78" s="389">
        <f>(D78-E78)/D78</f>
        <v>-0.12102564102564095</v>
      </c>
      <c r="K78" s="389">
        <f>(E78-F78)/E78</f>
        <v>0</v>
      </c>
      <c r="L78" s="389">
        <f>(F78-G78)/F78</f>
        <v>7.5937785910338451E-2</v>
      </c>
    </row>
    <row r="79" spans="1:12" ht="15">
      <c r="A79" s="296" t="s">
        <v>360</v>
      </c>
      <c r="B79" s="296"/>
      <c r="C79" s="296" t="s">
        <v>336</v>
      </c>
      <c r="D79" s="296" t="s">
        <v>342</v>
      </c>
      <c r="E79" s="255" t="s">
        <v>159</v>
      </c>
      <c r="F79" s="255" t="s">
        <v>160</v>
      </c>
      <c r="G79" s="296" t="s">
        <v>17</v>
      </c>
    </row>
    <row r="80" spans="1:12">
      <c r="A80" s="295" t="s">
        <v>353</v>
      </c>
      <c r="B80" s="295"/>
      <c r="C80" s="295">
        <v>645</v>
      </c>
      <c r="D80" s="295">
        <v>667</v>
      </c>
      <c r="E80" s="295">
        <v>649</v>
      </c>
      <c r="F80" s="295">
        <v>649</v>
      </c>
      <c r="G80" s="295">
        <v>597</v>
      </c>
    </row>
    <row r="81" spans="1:12">
      <c r="A81" s="295" t="s">
        <v>354</v>
      </c>
      <c r="B81" s="295"/>
      <c r="C81" s="295">
        <v>606</v>
      </c>
      <c r="D81" s="295">
        <v>602</v>
      </c>
      <c r="E81" s="295">
        <v>589</v>
      </c>
      <c r="F81" s="295">
        <v>589</v>
      </c>
      <c r="G81" s="295">
        <v>596</v>
      </c>
    </row>
    <row r="82" spans="1:12">
      <c r="A82" s="295" t="s">
        <v>248</v>
      </c>
      <c r="B82" s="295"/>
      <c r="C82" s="295">
        <v>516</v>
      </c>
      <c r="D82" s="295">
        <v>516</v>
      </c>
      <c r="E82" s="295">
        <v>473</v>
      </c>
      <c r="F82" s="295">
        <v>473</v>
      </c>
      <c r="G82" s="295">
        <v>473</v>
      </c>
    </row>
    <row r="83" spans="1:12">
      <c r="A83" s="295" t="s">
        <v>220</v>
      </c>
      <c r="B83" s="295"/>
      <c r="C83" s="295">
        <v>480</v>
      </c>
      <c r="D83" s="295">
        <v>480</v>
      </c>
      <c r="E83" s="295">
        <v>480</v>
      </c>
      <c r="F83" s="295">
        <v>480</v>
      </c>
      <c r="G83" s="295">
        <v>480</v>
      </c>
    </row>
    <row r="84" spans="1:12">
      <c r="A84" s="295" t="s">
        <v>221</v>
      </c>
      <c r="B84" s="295"/>
      <c r="C84" s="295">
        <v>480</v>
      </c>
      <c r="D84" s="295">
        <v>480</v>
      </c>
      <c r="E84" s="295">
        <v>480</v>
      </c>
      <c r="F84" s="295">
        <v>480</v>
      </c>
      <c r="G84" s="295">
        <v>480</v>
      </c>
      <c r="I84" s="251" t="s">
        <v>158</v>
      </c>
      <c r="J84" s="251" t="s">
        <v>357</v>
      </c>
      <c r="K84" s="251" t="s">
        <v>358</v>
      </c>
      <c r="L84" s="251" t="s">
        <v>359</v>
      </c>
    </row>
    <row r="85" spans="1:12">
      <c r="C85" s="251">
        <f>SUM(C80:C84)/5</f>
        <v>545.4</v>
      </c>
      <c r="D85" s="251">
        <f>SUM(D80:D84)/5</f>
        <v>549</v>
      </c>
      <c r="E85" s="251">
        <f>SUM(E80:E84)/5</f>
        <v>534.20000000000005</v>
      </c>
      <c r="F85" s="251">
        <f>SUM(F80:F84)/5</f>
        <v>534.20000000000005</v>
      </c>
      <c r="G85" s="251">
        <f>SUM(G80:G84)/5</f>
        <v>525.20000000000005</v>
      </c>
      <c r="I85" s="389">
        <f>(C85-D85)/C85</f>
        <v>-6.6006600660066424E-3</v>
      </c>
      <c r="J85" s="389">
        <f>(D85-E85)/D85</f>
        <v>2.6958105646630155E-2</v>
      </c>
      <c r="K85" s="389">
        <f>(E85-F85)/E85</f>
        <v>0</v>
      </c>
      <c r="L85" s="389">
        <f>(F85-G85)/F85</f>
        <v>1.6847622613253461E-2</v>
      </c>
    </row>
    <row r="87" spans="1:12">
      <c r="A87" s="251" t="s">
        <v>361</v>
      </c>
    </row>
    <row r="88" spans="1:12" ht="15">
      <c r="A88" s="296" t="s">
        <v>343</v>
      </c>
      <c r="B88" s="296"/>
      <c r="C88" s="296" t="s">
        <v>336</v>
      </c>
      <c r="D88" s="296" t="s">
        <v>342</v>
      </c>
      <c r="E88" s="255" t="s">
        <v>159</v>
      </c>
      <c r="F88" s="255" t="s">
        <v>159</v>
      </c>
      <c r="G88" s="296" t="s">
        <v>17</v>
      </c>
    </row>
    <row r="89" spans="1:12">
      <c r="A89" s="295" t="s">
        <v>353</v>
      </c>
      <c r="B89" s="295"/>
      <c r="C89" s="295">
        <v>600</v>
      </c>
      <c r="D89" s="295">
        <v>559</v>
      </c>
      <c r="E89" s="295">
        <v>538</v>
      </c>
      <c r="F89" s="295">
        <v>538</v>
      </c>
      <c r="G89" s="295">
        <v>538</v>
      </c>
    </row>
    <row r="90" spans="1:12">
      <c r="A90" s="295" t="s">
        <v>354</v>
      </c>
      <c r="B90" s="295"/>
      <c r="C90" s="295">
        <v>615</v>
      </c>
      <c r="D90" s="295">
        <v>645</v>
      </c>
      <c r="E90" s="295">
        <v>499</v>
      </c>
      <c r="F90" s="295">
        <v>499</v>
      </c>
      <c r="G90" s="295">
        <v>468</v>
      </c>
    </row>
    <row r="91" spans="1:12">
      <c r="A91" s="295" t="s">
        <v>248</v>
      </c>
      <c r="B91" s="295"/>
      <c r="C91" s="295">
        <v>570</v>
      </c>
      <c r="D91" s="295">
        <v>559</v>
      </c>
      <c r="E91" s="295">
        <v>559</v>
      </c>
      <c r="F91" s="295">
        <v>559</v>
      </c>
      <c r="G91" s="295">
        <v>538</v>
      </c>
    </row>
    <row r="92" spans="1:12">
      <c r="A92" s="295" t="s">
        <v>220</v>
      </c>
      <c r="B92" s="295"/>
      <c r="C92" s="295">
        <v>581</v>
      </c>
      <c r="D92" s="295">
        <v>581</v>
      </c>
      <c r="E92" s="295">
        <v>559</v>
      </c>
      <c r="F92" s="295">
        <v>559</v>
      </c>
      <c r="G92" s="295">
        <v>473</v>
      </c>
    </row>
    <row r="93" spans="1:12">
      <c r="A93" s="295" t="s">
        <v>221</v>
      </c>
      <c r="B93" s="295"/>
      <c r="C93" s="295">
        <v>636</v>
      </c>
      <c r="D93" s="295">
        <v>581</v>
      </c>
      <c r="E93" s="295">
        <v>559</v>
      </c>
      <c r="F93" s="295">
        <v>559</v>
      </c>
      <c r="G93" s="295">
        <v>387</v>
      </c>
    </row>
    <row r="95" spans="1:12" ht="15">
      <c r="A95" s="296" t="s">
        <v>355</v>
      </c>
      <c r="B95" s="296"/>
      <c r="C95" s="296" t="s">
        <v>336</v>
      </c>
      <c r="D95" s="296" t="s">
        <v>342</v>
      </c>
      <c r="E95" s="255" t="s">
        <v>159</v>
      </c>
      <c r="F95" s="255" t="s">
        <v>159</v>
      </c>
      <c r="G95" s="296" t="s">
        <v>17</v>
      </c>
    </row>
    <row r="96" spans="1:12">
      <c r="A96" s="295" t="s">
        <v>353</v>
      </c>
      <c r="B96" s="295"/>
      <c r="C96" s="295">
        <v>645</v>
      </c>
      <c r="D96" s="295">
        <v>590</v>
      </c>
      <c r="E96" s="295">
        <v>559</v>
      </c>
      <c r="F96" s="295">
        <v>559</v>
      </c>
      <c r="G96" s="295">
        <v>600</v>
      </c>
    </row>
    <row r="97" spans="1:12">
      <c r="A97" s="295" t="s">
        <v>354</v>
      </c>
      <c r="B97" s="295"/>
      <c r="C97" s="295">
        <v>753</v>
      </c>
      <c r="D97" s="295">
        <v>538</v>
      </c>
      <c r="E97" s="295">
        <v>538</v>
      </c>
      <c r="F97" s="295">
        <v>538</v>
      </c>
      <c r="G97" s="295">
        <v>538</v>
      </c>
    </row>
    <row r="98" spans="1:12">
      <c r="A98" s="295" t="s">
        <v>248</v>
      </c>
      <c r="B98" s="295" t="s">
        <v>356</v>
      </c>
      <c r="C98" s="295">
        <v>667</v>
      </c>
      <c r="D98" s="295">
        <v>590</v>
      </c>
      <c r="E98" s="295">
        <v>581</v>
      </c>
      <c r="F98" s="295">
        <v>581</v>
      </c>
      <c r="G98" s="295">
        <v>581</v>
      </c>
    </row>
    <row r="99" spans="1:12">
      <c r="A99" s="295" t="s">
        <v>220</v>
      </c>
      <c r="B99" s="295"/>
      <c r="C99" s="369">
        <v>215</v>
      </c>
      <c r="D99" s="295">
        <v>215</v>
      </c>
      <c r="E99" s="295">
        <v>215</v>
      </c>
      <c r="F99" s="295">
        <v>215</v>
      </c>
      <c r="G99" s="295">
        <v>215</v>
      </c>
    </row>
    <row r="100" spans="1:12">
      <c r="A100" s="295" t="s">
        <v>221</v>
      </c>
      <c r="B100" s="295"/>
      <c r="C100" s="295">
        <v>903</v>
      </c>
      <c r="D100" s="369">
        <f>AVERAGE(D96:D99)</f>
        <v>483.25</v>
      </c>
      <c r="E100" s="369">
        <f>AVERAGE(E96:E99)</f>
        <v>473.25</v>
      </c>
      <c r="F100" s="369">
        <f>AVERAGE(F96:F99)</f>
        <v>473.25</v>
      </c>
      <c r="G100" s="369">
        <f>AVERAGE(G96:G99)</f>
        <v>483.5</v>
      </c>
      <c r="I100" s="251" t="s">
        <v>158</v>
      </c>
      <c r="J100" s="251" t="s">
        <v>357</v>
      </c>
      <c r="K100" s="251" t="s">
        <v>358</v>
      </c>
      <c r="L100" s="251" t="s">
        <v>359</v>
      </c>
    </row>
    <row r="101" spans="1:12">
      <c r="C101" s="251">
        <f>SUM(C96:C100)/5</f>
        <v>636.6</v>
      </c>
      <c r="D101" s="251">
        <f>SUM(D96:D100)/5</f>
        <v>483.25</v>
      </c>
      <c r="E101" s="251">
        <f>SUM(E96:E100)/5</f>
        <v>473.25</v>
      </c>
      <c r="F101" s="251">
        <f>SUM(F96:F100)/5</f>
        <v>473.25</v>
      </c>
      <c r="G101" s="251">
        <f>SUM(G96:G100)/5</f>
        <v>483.5</v>
      </c>
      <c r="I101" s="389">
        <f>(C101-D101)/C101</f>
        <v>0.24088909833490421</v>
      </c>
      <c r="J101" s="389">
        <f>(D101-E101)/D101</f>
        <v>2.0693222969477496E-2</v>
      </c>
      <c r="K101" s="389">
        <f>(E101-F101)/E101</f>
        <v>0</v>
      </c>
      <c r="L101" s="389">
        <f>(F101-G101)/F101</f>
        <v>-2.1658742736397254E-2</v>
      </c>
    </row>
    <row r="102" spans="1:12" ht="15">
      <c r="A102" s="296" t="s">
        <v>360</v>
      </c>
      <c r="B102" s="296"/>
      <c r="C102" s="296" t="s">
        <v>336</v>
      </c>
      <c r="D102" s="296" t="s">
        <v>342</v>
      </c>
      <c r="E102" s="255" t="s">
        <v>159</v>
      </c>
      <c r="F102" s="255" t="s">
        <v>159</v>
      </c>
      <c r="G102" s="296" t="s">
        <v>17</v>
      </c>
    </row>
    <row r="103" spans="1:12">
      <c r="A103" s="295" t="s">
        <v>353</v>
      </c>
      <c r="B103" s="295"/>
      <c r="C103" s="295">
        <v>559</v>
      </c>
      <c r="D103" s="295">
        <v>538</v>
      </c>
      <c r="E103" s="295">
        <v>538</v>
      </c>
      <c r="F103" s="295">
        <v>538</v>
      </c>
      <c r="G103" s="295">
        <v>538</v>
      </c>
    </row>
    <row r="104" spans="1:12">
      <c r="A104" s="295" t="s">
        <v>354</v>
      </c>
      <c r="B104" s="295"/>
      <c r="C104" s="369">
        <f>D104</f>
        <v>559</v>
      </c>
      <c r="D104" s="369">
        <f>D105</f>
        <v>559</v>
      </c>
      <c r="E104" s="369">
        <f>E105</f>
        <v>538</v>
      </c>
      <c r="F104" s="369">
        <f>F105</f>
        <v>538</v>
      </c>
      <c r="G104" s="369">
        <f>G105</f>
        <v>430</v>
      </c>
    </row>
    <row r="105" spans="1:12">
      <c r="A105" s="295" t="s">
        <v>248</v>
      </c>
      <c r="B105" s="295"/>
      <c r="C105" s="295">
        <v>645</v>
      </c>
      <c r="D105" s="295">
        <v>559</v>
      </c>
      <c r="E105" s="295">
        <v>538</v>
      </c>
      <c r="F105" s="295">
        <v>538</v>
      </c>
      <c r="G105" s="295">
        <v>430</v>
      </c>
    </row>
    <row r="106" spans="1:12">
      <c r="A106" s="295" t="s">
        <v>220</v>
      </c>
      <c r="B106" s="295"/>
      <c r="C106" s="295">
        <v>516</v>
      </c>
      <c r="D106" s="295">
        <v>516</v>
      </c>
      <c r="E106" s="295">
        <v>430</v>
      </c>
      <c r="F106" s="295">
        <v>430</v>
      </c>
      <c r="G106" s="295">
        <v>430</v>
      </c>
    </row>
    <row r="107" spans="1:12">
      <c r="A107" s="295" t="s">
        <v>221</v>
      </c>
      <c r="B107" s="295"/>
      <c r="C107" s="369">
        <f>D107</f>
        <v>543</v>
      </c>
      <c r="D107" s="369">
        <f>AVERAGE(D103:D106)</f>
        <v>543</v>
      </c>
      <c r="E107" s="369">
        <f>AVERAGE(E103:E106)</f>
        <v>511</v>
      </c>
      <c r="F107" s="369">
        <f>AVERAGE(F103:F106)</f>
        <v>511</v>
      </c>
      <c r="G107" s="369">
        <f>AVERAGE(G103:G106)</f>
        <v>457</v>
      </c>
      <c r="I107" s="251" t="s">
        <v>158</v>
      </c>
      <c r="J107" s="251" t="s">
        <v>357</v>
      </c>
      <c r="K107" s="251" t="s">
        <v>358</v>
      </c>
      <c r="L107" s="251" t="s">
        <v>359</v>
      </c>
    </row>
    <row r="108" spans="1:12">
      <c r="C108" s="388">
        <f>SUM(C103,C105,C107)/3</f>
        <v>582.33333333333337</v>
      </c>
      <c r="D108" s="388">
        <f>SUM(D103,D105,D107)/3</f>
        <v>546.66666666666663</v>
      </c>
      <c r="E108" s="251">
        <f>SUM(E103,E105,E107)/3</f>
        <v>529</v>
      </c>
      <c r="F108" s="251">
        <f>SUM(F103,F105,F107)/3</f>
        <v>529</v>
      </c>
      <c r="G108" s="251">
        <f>SUM(G103,G105,G107)/3</f>
        <v>475</v>
      </c>
      <c r="I108" s="389">
        <f>(C108-D108)/C108</f>
        <v>6.1247853463079691E-2</v>
      </c>
      <c r="J108" s="389">
        <f>(D108-E108)/D108</f>
        <v>3.2317073170731639E-2</v>
      </c>
      <c r="K108" s="389">
        <f>(E108-F108)/E108</f>
        <v>0</v>
      </c>
      <c r="L108" s="389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362</v>
      </c>
      <c r="G1" s="22" t="s">
        <v>405</v>
      </c>
      <c r="L1" s="121"/>
    </row>
    <row r="2" spans="1:20">
      <c r="A2" s="115" t="s">
        <v>363</v>
      </c>
    </row>
    <row r="3" spans="1:20" ht="25.75" customHeight="1">
      <c r="A3" s="118" t="s">
        <v>406</v>
      </c>
    </row>
    <row r="4" spans="1:20">
      <c r="A4" s="120" t="s">
        <v>343</v>
      </c>
      <c r="H4" s="247"/>
      <c r="I4" s="248" t="s">
        <v>364</v>
      </c>
    </row>
    <row r="5" spans="1:20" ht="28">
      <c r="A5" s="119" t="s">
        <v>365</v>
      </c>
      <c r="D5" s="151" t="s">
        <v>366</v>
      </c>
      <c r="E5" s="249" t="s">
        <v>367</v>
      </c>
      <c r="F5" s="151" t="s">
        <v>368</v>
      </c>
      <c r="H5" s="119" t="s">
        <v>369</v>
      </c>
      <c r="J5" s="115" t="s">
        <v>178</v>
      </c>
      <c r="L5" s="115" t="s">
        <v>370</v>
      </c>
      <c r="R5" s="151"/>
      <c r="S5" s="249"/>
      <c r="T5" s="151"/>
    </row>
    <row r="6" spans="1:20">
      <c r="A6" s="115" t="s">
        <v>371</v>
      </c>
      <c r="B6" s="115" t="s">
        <v>372</v>
      </c>
      <c r="D6" s="138">
        <v>0.33</v>
      </c>
      <c r="E6" s="138">
        <v>0.35</v>
      </c>
      <c r="F6" s="138">
        <v>0.09</v>
      </c>
      <c r="H6" s="138">
        <f>SUM(D6,E6,2*F6)</f>
        <v>0.85999999999999988</v>
      </c>
      <c r="J6" s="250">
        <f>5*H6</f>
        <v>4.2999999999999989</v>
      </c>
      <c r="L6" s="138">
        <f>D6+(2*F6)</f>
        <v>0.51</v>
      </c>
    </row>
    <row r="7" spans="1:20">
      <c r="A7" s="115" t="s">
        <v>373</v>
      </c>
      <c r="B7" s="115" t="s">
        <v>374</v>
      </c>
      <c r="D7" s="138">
        <v>1.67</v>
      </c>
      <c r="E7" s="138">
        <v>3.26</v>
      </c>
      <c r="F7" s="138">
        <v>0.5</v>
      </c>
      <c r="H7" s="138">
        <f>SUM(D7,E7,2*F7)</f>
        <v>5.93</v>
      </c>
      <c r="J7" s="250">
        <f>5*H7</f>
        <v>29.65</v>
      </c>
      <c r="L7" s="138">
        <f>D7+(2*F7)</f>
        <v>2.67</v>
      </c>
      <c r="O7" s="138"/>
    </row>
    <row r="8" spans="1:20">
      <c r="A8" s="115" t="s">
        <v>375</v>
      </c>
      <c r="B8" s="115" t="s">
        <v>376</v>
      </c>
      <c r="D8" s="138">
        <v>1.97</v>
      </c>
      <c r="E8" s="138">
        <v>3.66</v>
      </c>
      <c r="F8" s="138">
        <v>1</v>
      </c>
      <c r="H8" s="138">
        <f>SUM(D8,E8,2*F8)</f>
        <v>7.63</v>
      </c>
      <c r="J8" s="250">
        <f>5*H8</f>
        <v>38.15</v>
      </c>
      <c r="L8" s="138">
        <f>D8+(2*F8)</f>
        <v>3.9699999999999998</v>
      </c>
      <c r="O8" s="138"/>
    </row>
    <row r="9" spans="1:20">
      <c r="D9" s="138"/>
      <c r="E9" s="138"/>
      <c r="F9" s="138"/>
      <c r="I9" s="115" t="s">
        <v>377</v>
      </c>
      <c r="J9" s="138">
        <f>AVERAGE(J6:J8)</f>
        <v>24.033333333333331</v>
      </c>
    </row>
    <row r="10" spans="1:20">
      <c r="H10" s="248" t="s">
        <v>378</v>
      </c>
    </row>
    <row r="12" spans="1:20">
      <c r="A12" s="120" t="s">
        <v>379</v>
      </c>
    </row>
    <row r="13" spans="1:20" ht="28">
      <c r="B13" s="151" t="s">
        <v>366</v>
      </c>
      <c r="C13" s="249" t="s">
        <v>367</v>
      </c>
      <c r="D13" s="151" t="s">
        <v>368</v>
      </c>
      <c r="E13" s="115" t="s">
        <v>380</v>
      </c>
      <c r="F13" s="115" t="s">
        <v>73</v>
      </c>
    </row>
    <row r="14" spans="1:20">
      <c r="A14" s="115" t="s">
        <v>381</v>
      </c>
      <c r="B14" s="138">
        <v>1.4</v>
      </c>
      <c r="C14" s="138">
        <v>2.63</v>
      </c>
      <c r="D14" s="138">
        <v>0.78</v>
      </c>
      <c r="E14" s="138">
        <f>SUM(B14,C14,D14*2)</f>
        <v>5.59</v>
      </c>
      <c r="F14" s="138">
        <f>E14*5</f>
        <v>27.95</v>
      </c>
      <c r="H14" s="115" t="s">
        <v>373</v>
      </c>
    </row>
    <row r="15" spans="1:20">
      <c r="A15" s="115" t="s">
        <v>382</v>
      </c>
      <c r="B15" s="138">
        <v>0.51</v>
      </c>
      <c r="C15" s="138">
        <v>1.59</v>
      </c>
      <c r="D15" s="138">
        <v>0.21</v>
      </c>
      <c r="E15" s="138">
        <f>SUM(B15,C15,D15*2)</f>
        <v>2.52</v>
      </c>
      <c r="F15" s="138">
        <f>E15*5</f>
        <v>12.6</v>
      </c>
      <c r="H15" s="115" t="s">
        <v>371</v>
      </c>
    </row>
    <row r="18" spans="2:10">
      <c r="B18" s="120"/>
      <c r="H18" s="248"/>
    </row>
    <row r="19" spans="2:10">
      <c r="D19" s="151"/>
      <c r="E19" s="249"/>
      <c r="F19" s="151"/>
      <c r="H19" s="119"/>
    </row>
    <row r="20" spans="2:10">
      <c r="D20" s="136"/>
      <c r="E20" s="136"/>
      <c r="F20" s="136"/>
      <c r="H20" s="138"/>
      <c r="J20" s="138"/>
    </row>
    <row r="21" spans="2:10">
      <c r="D21" s="136"/>
      <c r="E21" s="136"/>
      <c r="F21" s="136"/>
      <c r="H21" s="138"/>
      <c r="J21" s="138"/>
    </row>
    <row r="23" spans="2:10">
      <c r="B23" s="123"/>
      <c r="C23" s="123"/>
      <c r="D23" s="123"/>
    </row>
    <row r="24" spans="2:10">
      <c r="B24" s="123"/>
      <c r="C24" s="123"/>
      <c r="D24" s="123"/>
    </row>
    <row r="25" spans="2:10">
      <c r="B25" s="123"/>
      <c r="C25" s="123"/>
      <c r="D25" s="123"/>
    </row>
    <row r="26" spans="2:10">
      <c r="B26" s="123"/>
      <c r="C26" s="123"/>
      <c r="D26" s="123"/>
    </row>
    <row r="27" spans="2:10">
      <c r="B27" s="123"/>
    </row>
    <row r="33" spans="2:8">
      <c r="B33" s="340"/>
      <c r="C33" s="123"/>
      <c r="D33" s="123"/>
    </row>
    <row r="34" spans="2:8">
      <c r="B34" s="340"/>
      <c r="C34" s="123"/>
      <c r="D34" s="123"/>
    </row>
    <row r="35" spans="2:8">
      <c r="B35" s="340"/>
      <c r="C35" s="123"/>
      <c r="D35" s="123"/>
    </row>
    <row r="36" spans="2:8">
      <c r="B36" s="340"/>
      <c r="C36" s="123"/>
      <c r="D36" s="123"/>
    </row>
    <row r="37" spans="2:8">
      <c r="B37" s="340"/>
    </row>
    <row r="42" spans="2:8">
      <c r="B42" s="340"/>
      <c r="C42" s="123"/>
      <c r="D42" s="123"/>
      <c r="F42" s="123"/>
      <c r="G42" s="123"/>
      <c r="H42" s="123"/>
    </row>
    <row r="43" spans="2:8">
      <c r="B43" s="340"/>
      <c r="C43" s="123"/>
      <c r="D43" s="123"/>
      <c r="F43" s="123"/>
      <c r="G43" s="123"/>
      <c r="H43" s="123"/>
    </row>
    <row r="44" spans="2:8">
      <c r="B44" s="340"/>
      <c r="C44" s="123"/>
      <c r="D44" s="123"/>
      <c r="F44" s="123"/>
      <c r="G44" s="123"/>
      <c r="H44" s="123"/>
    </row>
    <row r="45" spans="2:8">
      <c r="B45" s="340"/>
      <c r="C45" s="123"/>
      <c r="D45" s="123"/>
      <c r="F45" s="123"/>
      <c r="G45" s="123"/>
      <c r="H45" s="123"/>
    </row>
    <row r="49" spans="1:8">
      <c r="A49" s="29"/>
      <c r="B49" s="29"/>
      <c r="C49" s="29"/>
      <c r="D49" s="29"/>
    </row>
    <row r="50" spans="1:8">
      <c r="A50" s="29"/>
      <c r="B50" s="340"/>
      <c r="C50" s="15"/>
      <c r="D50" s="15"/>
      <c r="F50" s="15"/>
      <c r="G50" s="15"/>
      <c r="H50" s="15"/>
    </row>
    <row r="51" spans="1:8">
      <c r="A51" s="29"/>
      <c r="B51" s="340"/>
      <c r="C51" s="15"/>
      <c r="D51" s="15"/>
      <c r="F51" s="15"/>
      <c r="G51" s="15"/>
      <c r="H51" s="15"/>
    </row>
    <row r="52" spans="1:8">
      <c r="A52" s="29"/>
      <c r="B52" s="340"/>
      <c r="C52" s="15"/>
      <c r="D52" s="15"/>
      <c r="F52" s="15"/>
      <c r="G52" s="15"/>
      <c r="H52" s="15"/>
    </row>
    <row r="53" spans="1:8">
      <c r="A53" s="29"/>
      <c r="B53" s="340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0"/>
      <c r="C58" s="15"/>
      <c r="D58" s="15"/>
    </row>
    <row r="59" spans="1:8">
      <c r="A59" s="29"/>
      <c r="B59" s="340"/>
      <c r="C59" s="15"/>
      <c r="D59" s="15"/>
    </row>
    <row r="60" spans="1:8">
      <c r="A60" s="29"/>
      <c r="B60" s="340"/>
      <c r="C60" s="15"/>
      <c r="D60" s="15"/>
    </row>
    <row r="61" spans="1:8">
      <c r="A61" s="29"/>
      <c r="B61" s="340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383</v>
      </c>
      <c r="J1" s="115" t="s">
        <v>384</v>
      </c>
    </row>
    <row r="2" spans="1:10">
      <c r="A2" s="262" t="s">
        <v>385</v>
      </c>
      <c r="B2" s="606" t="s">
        <v>386</v>
      </c>
      <c r="C2" s="606"/>
      <c r="D2" s="606"/>
      <c r="E2" s="267" t="s">
        <v>67</v>
      </c>
      <c r="J2" s="115" t="s">
        <v>387</v>
      </c>
    </row>
    <row r="3" spans="1:10" ht="15" customHeight="1">
      <c r="A3" s="263"/>
      <c r="B3" s="264" t="s">
        <v>388</v>
      </c>
      <c r="C3" s="264" t="s">
        <v>389</v>
      </c>
      <c r="D3" s="264" t="s">
        <v>390</v>
      </c>
      <c r="E3" s="268" t="s">
        <v>391</v>
      </c>
      <c r="F3" s="119" t="s">
        <v>392</v>
      </c>
    </row>
    <row r="4" spans="1:10" ht="13" customHeight="1">
      <c r="B4" s="266"/>
      <c r="C4" s="127">
        <v>700</v>
      </c>
      <c r="D4" s="127">
        <v>875</v>
      </c>
      <c r="E4" s="269">
        <v>875</v>
      </c>
      <c r="F4" s="127">
        <v>400</v>
      </c>
      <c r="G4" s="127"/>
      <c r="H4" s="127"/>
      <c r="I4" s="127"/>
      <c r="J4" s="127"/>
    </row>
    <row r="5" spans="1:10" ht="15.75" customHeight="1">
      <c r="B5" s="265"/>
      <c r="C5" s="265"/>
      <c r="D5" s="265"/>
      <c r="E5" s="269"/>
      <c r="F5" s="127"/>
      <c r="G5" s="127"/>
      <c r="H5" s="127"/>
      <c r="I5" s="127"/>
      <c r="J5" s="127"/>
    </row>
    <row r="6" spans="1:10">
      <c r="A6" s="115" t="s">
        <v>393</v>
      </c>
      <c r="B6" s="123">
        <f>B4*12</f>
        <v>0</v>
      </c>
      <c r="C6" s="123">
        <f>C4*12</f>
        <v>8400</v>
      </c>
      <c r="D6" s="123">
        <f>D4*12</f>
        <v>10500</v>
      </c>
      <c r="E6" s="123">
        <f>E4*12</f>
        <v>10500</v>
      </c>
      <c r="F6" s="123">
        <f>F4*12</f>
        <v>4800</v>
      </c>
      <c r="I6" s="22" t="s">
        <v>394</v>
      </c>
    </row>
    <row r="7" spans="1:10">
      <c r="A7" s="120" t="s">
        <v>395</v>
      </c>
      <c r="B7" s="281">
        <f>B4*10</f>
        <v>0</v>
      </c>
      <c r="C7" s="281">
        <f>C4*10</f>
        <v>7000</v>
      </c>
      <c r="D7" s="281">
        <f>D4*10</f>
        <v>8750</v>
      </c>
      <c r="E7" s="281">
        <f>E4*10</f>
        <v>8750</v>
      </c>
      <c r="F7" s="281">
        <f>F4*10</f>
        <v>4000</v>
      </c>
    </row>
    <row r="8" spans="1:10">
      <c r="C8" s="123"/>
      <c r="D8" s="123"/>
    </row>
    <row r="30" spans="3:3" ht="18">
      <c r="C30" s="280"/>
    </row>
    <row r="31" spans="3:3" ht="18">
      <c r="C31" s="280"/>
    </row>
    <row r="32" spans="3:3" ht="18">
      <c r="C32" s="280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0" t="s">
        <v>412</v>
      </c>
    </row>
    <row r="2" spans="1:1">
      <c r="A2" s="29" t="s">
        <v>413</v>
      </c>
    </row>
    <row r="3" spans="1:1">
      <c r="A3" s="29" t="s">
        <v>414</v>
      </c>
    </row>
    <row r="4" spans="1:1">
      <c r="A4" s="29" t="s">
        <v>415</v>
      </c>
    </row>
    <row r="5" spans="1:1">
      <c r="A5" s="29" t="s">
        <v>416</v>
      </c>
    </row>
    <row r="6" spans="1:1">
      <c r="A6" s="29" t="s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3" ma:contentTypeDescription="Create a new document." ma:contentTypeScope="" ma:versionID="ad668d500b05626319e9345977462635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ee49744f036cdf896ee80a7cf26378b4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BE58-CCC7-43E4-BAB4-B18A6DAE48D8}">
  <ds:schemaRefs>
    <ds:schemaRef ds:uri="10e25aaf-7277-47a3-ac6f-8bf087b3d215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b02e63f-c57a-4094-ac27-81bb96728c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AFAE3A-0ABB-44AC-939A-5849284B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Simon Workman</cp:lastModifiedBy>
  <cp:revision/>
  <dcterms:created xsi:type="dcterms:W3CDTF">2008-09-19T15:38:02Z</dcterms:created>
  <dcterms:modified xsi:type="dcterms:W3CDTF">2023-05-08T19:52:19Z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