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New Mexico/child care cost model/Public Models/"/>
    </mc:Choice>
  </mc:AlternateContent>
  <xr:revisionPtr revIDLastSave="169" documentId="8_{B81D98D0-2CDC-6C47-BB25-2003766F18F7}" xr6:coauthVersionLast="47" xr6:coauthVersionMax="47" xr10:uidLastSave="{E0E52CFB-D897-8547-AB7E-F21FD69D8C2A}"/>
  <workbookProtection workbookAlgorithmName="SHA-512" workbookHashValue="WD5zc3mdIhgCt2Wg0lrabIG1lpV4LhMexo7qUnC17NjAhrnvtJCvOCFX9LgUtqoI5Br4Cyzwrw3ycIAuYYYgLQ==" workbookSaltValue="IfjO59T4mtTlblVlINI+rA==" workbookSpinCount="100000" lockStructure="1"/>
  <bookViews>
    <workbookView xWindow="3120" yWindow="500" windowWidth="30140" windowHeight="19060" xr2:uid="{058427AB-F779-2141-A2E5-910541989633}"/>
  </bookViews>
  <sheets>
    <sheet name="VariablesINPUT-CTR" sheetId="35" r:id="rId1"/>
    <sheet name="Quality Center Profile" sheetId="1" state="hidden" r:id="rId2"/>
    <sheet name="VariablesINPUT-FCC" sheetId="100" state="hidden" r:id="rId3"/>
    <sheet name="QualityHomeProfile" sheetId="101" state="hidden" r:id="rId4"/>
    <sheet name="Ratios" sheetId="90" state="hidden" r:id="rId5"/>
    <sheet name="Wages" sheetId="91" state="hidden" r:id="rId6"/>
    <sheet name="Nonpersonnel" sheetId="77" state="hidden" r:id="rId7"/>
    <sheet name="Subsidy rates" sheetId="102" state="hidden" r:id="rId8"/>
    <sheet name="Tuition Rates" sheetId="104" state="hidden" r:id="rId9"/>
    <sheet name="Fed CACFP" sheetId="103" state="hidden" r:id="rId10"/>
    <sheet name="PreK" sheetId="105" state="hidden" r:id="rId11"/>
    <sheet name="NOTES" sheetId="107" state="hidden" r:id="rId12"/>
  </sheets>
  <externalReferences>
    <externalReference r:id="rId13"/>
    <externalReference r:id="rId14"/>
    <externalReference r:id="rId15"/>
  </externalReferences>
  <definedNames>
    <definedName name="_NumberTeachingStaff">'Quality Center Profile'!$A$29</definedName>
    <definedName name="AAdegree" localSheetId="9">'[1]VariablesINPUT-CTR'!#REF!</definedName>
    <definedName name="AAdegree" localSheetId="10">'[1]VariablesINPUT-CTR'!#REF!</definedName>
    <definedName name="AAdegree" localSheetId="8">'[1]VariablesINPUT-CTR'!#REF!</definedName>
    <definedName name="AAdegree">'VariablesINPUT-CTR'!#REF!</definedName>
    <definedName name="AdditionalBenefits" localSheetId="9">'[1]Quality Center Profile'!$D$42</definedName>
    <definedName name="AdditionalBenefits" localSheetId="10">'[1]Quality Center Profile'!$D$42</definedName>
    <definedName name="AdditionalBenefits" localSheetId="8">'[1]Quality Center Profile'!$D$42</definedName>
    <definedName name="AdditionalBenefits" localSheetId="2">'[2]Quality Center Profile'!$D$42</definedName>
    <definedName name="AdditionalBenefits">'Quality Center Profile'!$D$45</definedName>
    <definedName name="Addl_benefits_per_staff" localSheetId="9">'[1]Quality Center Profile'!$C$42</definedName>
    <definedName name="Addl_benefits_per_staff" localSheetId="10">'[1]Quality Center Profile'!$C$42</definedName>
    <definedName name="Addl_benefits_per_staff" localSheetId="8">'[1]Quality Center Profile'!$C$42</definedName>
    <definedName name="Addl_benefits_per_staff">'Quality Center Profile'!$C$45</definedName>
    <definedName name="Admin_Staff" localSheetId="9">'[1]Quality Center Profile'!$D$21</definedName>
    <definedName name="Admin_Staff" localSheetId="10">'[1]Quality Center Profile'!$D$21</definedName>
    <definedName name="Admin_Staff" localSheetId="8">'[1]Quality Center Profile'!$D$21</definedName>
    <definedName name="Admin_Staff" localSheetId="2">'[2]Quality Center Profile'!$D$21</definedName>
    <definedName name="Admin_Staff">'Quality Center Profile'!$D$21</definedName>
    <definedName name="Administration__by_child">#REF!</definedName>
    <definedName name="Asst_Teacher" localSheetId="9">'[1]Quality Center Profile'!$D$24</definedName>
    <definedName name="Asst_Teacher" localSheetId="10">'[1]Quality Center Profile'!$D$24</definedName>
    <definedName name="Asst_Teacher" localSheetId="8">'[1]Quality Center Profile'!$D$24</definedName>
    <definedName name="Asst_Teacher" localSheetId="2">'[2]Quality Center Profile'!$D$24</definedName>
    <definedName name="Asst_Teacher">'Quality Center Profile'!$D$24</definedName>
    <definedName name="BadDebt" localSheetId="9">'[1]VariablesINPUT-CTR'!$E$15</definedName>
    <definedName name="BadDebt" localSheetId="10">'[1]VariablesINPUT-CTR'!$E$15</definedName>
    <definedName name="BadDebt" localSheetId="8">'[1]VariablesINPUT-CTR'!$E$15</definedName>
    <definedName name="BadDebt">'VariablesINPUT-CTR'!$E$20</definedName>
    <definedName name="BAdegree" localSheetId="9">'[1]VariablesINPUT-CTR'!#REF!</definedName>
    <definedName name="BAdegree" localSheetId="10">'[1]VariablesINPUT-CTR'!#REF!</definedName>
    <definedName name="BAdegree" localSheetId="8">'[1]VariablesINPUT-CTR'!#REF!</definedName>
    <definedName name="BAdegree">'VariablesINPUT-CTR'!#REF!</definedName>
    <definedName name="BLSsalary" localSheetId="9">'[1]VariablesINPUT-CTR'!#REF!</definedName>
    <definedName name="BLSsalary" localSheetId="10">'[1]VariablesINPUT-CTR'!#REF!</definedName>
    <definedName name="BLSsalary" localSheetId="8">'[1]VariablesINPUT-CTR'!#REF!</definedName>
    <definedName name="BLSsalary">'VariablesINPUT-FCC'!#REF!</definedName>
    <definedName name="City_Fours">#REF!</definedName>
    <definedName name="City_Infants">#REF!</definedName>
    <definedName name="City_Threes">#REF!</definedName>
    <definedName name="City_Toddlers">#REF!</definedName>
    <definedName name="COunty" localSheetId="9">'[1]VariablesINPUT-CTR'!#REF!</definedName>
    <definedName name="COunty" localSheetId="10">'[1]VariablesINPUT-CTR'!#REF!</definedName>
    <definedName name="COunty" localSheetId="8">'[1]VariablesINPUT-CTR'!#REF!</definedName>
    <definedName name="COunty">'VariablesINPUT-CTR'!#REF!</definedName>
    <definedName name="Education_Program__by_child">#REF!</definedName>
    <definedName name="EnhRatio" localSheetId="9">'[1]VariablesINPUT-CTR'!$D$19</definedName>
    <definedName name="EnhRatio" localSheetId="10">'[1]VariablesINPUT-CTR'!$D$19</definedName>
    <definedName name="EnhRatio" localSheetId="8">'[1]VariablesINPUT-CTR'!$D$19</definedName>
    <definedName name="EnhRatio">'VariablesINPUT-CTR'!#REF!</definedName>
    <definedName name="EnhSpace" localSheetId="9">'[1]VariablesINPUT-CTR'!$D$18</definedName>
    <definedName name="EnhSpace" localSheetId="10">'[1]VariablesINPUT-CTR'!$D$18</definedName>
    <definedName name="EnhSpace" localSheetId="8">'[1]VariablesINPUT-CTR'!$D$18</definedName>
    <definedName name="EnhSpace">'VariablesINPUT-CTR'!#REF!</definedName>
    <definedName name="EnrollEffic" localSheetId="9">'[1]VariablesINPUT-CTR'!$E$14</definedName>
    <definedName name="EnrollEffic" localSheetId="10">'[1]VariablesINPUT-CTR'!$E$14</definedName>
    <definedName name="EnrollEffic" localSheetId="8">'[1]VariablesINPUT-CTR'!$E$14</definedName>
    <definedName name="EnrollEffic">'VariablesINPUT-CTR'!$E$19</definedName>
    <definedName name="Floater_Assts" localSheetId="9">'[1]Quality Center Profile'!$D$25</definedName>
    <definedName name="Floater_Assts" localSheetId="10">'[1]Quality Center Profile'!$D$25</definedName>
    <definedName name="Floater_Assts" localSheetId="8">'[1]Quality Center Profile'!$D$25</definedName>
    <definedName name="Floater_Assts" localSheetId="2">'[2]Quality Center Profile'!$D$25</definedName>
    <definedName name="Floater_Assts">'Quality Center Profile'!$D$27</definedName>
    <definedName name="Fours" localSheetId="9">'[1]Quality Center Profile'!$A$11</definedName>
    <definedName name="Fours" localSheetId="10">'[1]Quality Center Profile'!$A$11</definedName>
    <definedName name="Fours" localSheetId="8">'[1]Quality Center Profile'!$A$11</definedName>
    <definedName name="Fours">'Quality Center Profile'!#REF!</definedName>
    <definedName name="Fours_Private_Tuition" localSheetId="2">'VariablesINPUT-FCC'!#REF!</definedName>
    <definedName name="Fours_Private_Tuition">'VariablesINPUT-CTR'!#REF!</definedName>
    <definedName name="FOURS_Tuition">#REF!</definedName>
    <definedName name="FoursClassrooms" localSheetId="9">'[1]Quality Center Profile'!$F$11</definedName>
    <definedName name="FoursClassrooms" localSheetId="10">'[1]Quality Center Profile'!$F$11</definedName>
    <definedName name="FoursClassrooms" localSheetId="8">'[1]Quality Center Profile'!$F$11</definedName>
    <definedName name="FoursClassrooms">'Quality Center Profile'!#REF!</definedName>
    <definedName name="GRT">'Quality Center Profile'!$D$57</definedName>
    <definedName name="HealthIns" localSheetId="9">'[1]VariablesINPUT-CTR'!$D$25</definedName>
    <definedName name="HealthIns" localSheetId="10">'[1]VariablesINPUT-CTR'!$D$25</definedName>
    <definedName name="HealthIns" localSheetId="8">'[1]VariablesINPUT-CTR'!$D$25</definedName>
    <definedName name="HealthIns">'VariablesINPUT-CTR'!$D$27</definedName>
    <definedName name="HealthInsFCC">'VariablesINPUT-FCC'!$D$27</definedName>
    <definedName name="Infant_Aides" localSheetId="9">'[1]Quality Center Profile'!#REF!</definedName>
    <definedName name="Infant_Aides" localSheetId="10">'[1]Quality Center Profile'!#REF!</definedName>
    <definedName name="Infant_Aides" localSheetId="8">'[1]Quality Center Profile'!#REF!</definedName>
    <definedName name="Infant_Aides" localSheetId="2">'[2]Quality Center Profile'!#REF!</definedName>
    <definedName name="Infant_Aides">'Quality Center Profile'!#REF!</definedName>
    <definedName name="Infant_Assts" localSheetId="9">'[1]Quality Center Profile'!#REF!</definedName>
    <definedName name="Infant_Assts" localSheetId="10">'[1]Quality Center Profile'!#REF!</definedName>
    <definedName name="Infant_Assts" localSheetId="8">'[1]Quality Center Profile'!#REF!</definedName>
    <definedName name="Infant_Assts" localSheetId="2">'[2]Quality Center Profile'!#REF!</definedName>
    <definedName name="Infant_Assts">'Quality Center Profile'!#REF!</definedName>
    <definedName name="INFANT_Tuition">#REF!</definedName>
    <definedName name="InfantClassrooms" localSheetId="9">'[1]Quality Center Profile'!$F$7</definedName>
    <definedName name="InfantClassrooms" localSheetId="10">'[1]Quality Center Profile'!$F$7</definedName>
    <definedName name="InfantClassrooms" localSheetId="8">'[1]Quality Center Profile'!$F$7</definedName>
    <definedName name="InfantClassrooms" localSheetId="2">'[2]Quality Center Profile'!$F$7</definedName>
    <definedName name="InfantClassrooms">'Quality Center Profile'!$F$7</definedName>
    <definedName name="Infants" localSheetId="9">'[1]Quality Center Profile'!$A$7</definedName>
    <definedName name="Infants" localSheetId="10">'[1]Quality Center Profile'!$A$7</definedName>
    <definedName name="Infants" localSheetId="8">'[1]Quality Center Profile'!$A$7</definedName>
    <definedName name="Infants" localSheetId="2">'[2]Quality Center Profile'!$A$7</definedName>
    <definedName name="Infants">'Quality Center Profile'!$A$7</definedName>
    <definedName name="Infants_Private_Tuition" localSheetId="2">'VariablesINPUT-FCC'!#REF!</definedName>
    <definedName name="Infants_Private_Tuition">'VariablesINPUT-CTR'!#REF!</definedName>
    <definedName name="Kinder">'VariablesINPUT-CTR'!#REF!</definedName>
    <definedName name="KinderParity" localSheetId="9">'[1]VariablesINPUT-CTR'!$D$20</definedName>
    <definedName name="KinderParity" localSheetId="10">'[1]VariablesINPUT-CTR'!$D$20</definedName>
    <definedName name="KinderParity" localSheetId="8">'[1]VariablesINPUT-CTR'!$D$20</definedName>
    <definedName name="KinderParity">'VariablesINPUT-FCC'!$D$22</definedName>
    <definedName name="LeadTeacher" localSheetId="9">'[1]Quality Center Profile'!$D$23</definedName>
    <definedName name="LeadTeacher" localSheetId="10">'[1]Quality Center Profile'!$D$23</definedName>
    <definedName name="LeadTeacher" localSheetId="8">'[1]Quality Center Profile'!$D$23</definedName>
    <definedName name="LeadTeacher" localSheetId="2">'[2]Quality Center Profile'!$D$23</definedName>
    <definedName name="LeadTeacher">'Quality Center Profile'!$D$23</definedName>
    <definedName name="MandatoryBenefits" localSheetId="9">'[1]Quality Center Profile'!$D$40</definedName>
    <definedName name="MandatoryBenefits" localSheetId="10">'[1]Quality Center Profile'!$D$40</definedName>
    <definedName name="MandatoryBenefits" localSheetId="8">'[1]Quality Center Profile'!$D$40</definedName>
    <definedName name="MandatoryBenefits" localSheetId="2">'[2]Quality Center Profile'!$D$40</definedName>
    <definedName name="MandatoryBenefits">'Quality Center Profile'!$D$43</definedName>
    <definedName name="MinWage">'VariablesINPUT-CTR'!#REF!</definedName>
    <definedName name="ModelScale" localSheetId="9">'[1]VariablesINPUT-CTR'!#REF!</definedName>
    <definedName name="ModelScale" localSheetId="10">'[1]VariablesINPUT-CTR'!#REF!</definedName>
    <definedName name="ModelScale" localSheetId="8">'[1]VariablesINPUT-CTR'!#REF!</definedName>
    <definedName name="ModelScale">'VariablesINPUT-CTR'!#REF!</definedName>
    <definedName name="Nonpersonnel" localSheetId="9">'[1]Quality Center Profile'!$D$49</definedName>
    <definedName name="Nonpersonnel" localSheetId="10">'[1]Quality Center Profile'!$D$49</definedName>
    <definedName name="Nonpersonnel" localSheetId="8">'[1]Quality Center Profile'!$D$49</definedName>
    <definedName name="Nonpersonnel" localSheetId="2">'[2]Quality Center Profile'!$D$49</definedName>
    <definedName name="Nonpersonnel">'Quality Center Profile'!$D$54</definedName>
    <definedName name="NP_EdProgram" localSheetId="9">'[1]Quality Center Profile'!$D$46</definedName>
    <definedName name="NP_EdProgram" localSheetId="10">'[1]Quality Center Profile'!$D$46</definedName>
    <definedName name="NP_EdProgram" localSheetId="8">'[1]Quality Center Profile'!$D$46</definedName>
    <definedName name="NP_EdProgram" localSheetId="2">'[2]Quality Center Profile'!$D$46</definedName>
    <definedName name="NP_EdProgram">'Quality Center Profile'!$D$49</definedName>
    <definedName name="NP_MgtAdmin" localSheetId="9">'[1]Quality Center Profile'!$D$48</definedName>
    <definedName name="NP_MgtAdmin" localSheetId="10">'[1]Quality Center Profile'!$D$48</definedName>
    <definedName name="NP_MgtAdmin" localSheetId="8">'[1]Quality Center Profile'!$D$48</definedName>
    <definedName name="NP_MgtAdmin" localSheetId="2">'[2]Quality Center Profile'!$D$48</definedName>
    <definedName name="NP_MgtAdmin">'Quality Center Profile'!$D$51</definedName>
    <definedName name="NP_Occupancy" localSheetId="9">'[1]Quality Center Profile'!$D$47</definedName>
    <definedName name="NP_Occupancy" localSheetId="10">'[1]Quality Center Profile'!$D$47</definedName>
    <definedName name="NP_Occupancy" localSheetId="8">'[1]Quality Center Profile'!$D$47</definedName>
    <definedName name="NP_Occupancy" localSheetId="2">'[2]Quality Center Profile'!$D$47</definedName>
    <definedName name="NP_Occupancy">'Quality Center Profile'!$D$50</definedName>
    <definedName name="Occupancy">'Quality Center Profile'!$D$50</definedName>
    <definedName name="Occupancy__by_classroom">#REF!</definedName>
    <definedName name="Ones_Private_Tuition">'VariablesINPUT-CTR'!#REF!</definedName>
    <definedName name="Paid_Leave" localSheetId="9">'[1]VariablesINPUT-CTR'!$D$27</definedName>
    <definedName name="Paid_Leave" localSheetId="10">'[1]VariablesINPUT-CTR'!$D$27</definedName>
    <definedName name="Paid_Leave" localSheetId="8">'[1]VariablesINPUT-CTR'!$D$27</definedName>
    <definedName name="Paid_Leave">'VariablesINPUT-CTR'!$D$29</definedName>
    <definedName name="PaidLeaveFCC">'VariablesINPUT-FCC'!$D$29</definedName>
    <definedName name="Personnel" localSheetId="9">'[1]Quality Center Profile'!$D$43</definedName>
    <definedName name="Personnel" localSheetId="10">'[1]Quality Center Profile'!$D$43</definedName>
    <definedName name="Personnel" localSheetId="8">'[1]Quality Center Profile'!$D$43</definedName>
    <definedName name="Personnel">'Quality Center Profile'!$D$46</definedName>
    <definedName name="Pre3Children">'Quality Center Profile'!$A$9</definedName>
    <definedName name="Pre4Children">'Quality Center Profile'!$A$10</definedName>
    <definedName name="Pre4classroom">'Quality Center Profile'!$F$10</definedName>
    <definedName name="Preschool_Aides" localSheetId="9">'[1]Quality Center Profile'!#REF!</definedName>
    <definedName name="Preschool_Aides" localSheetId="10">'[1]Quality Center Profile'!#REF!</definedName>
    <definedName name="Preschool_Aides" localSheetId="8">'[1]Quality Center Profile'!#REF!</definedName>
    <definedName name="Preschool_Aides" localSheetId="2">'[2]Quality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Profile'!$A$9</definedName>
    <definedName name="PreschoolersClassroom">'Quality Center Profile'!$F$9</definedName>
    <definedName name="PreschoolersClassroom3">'Quality Center Profile'!$F$9</definedName>
    <definedName name="_xlnm.Print_Area" localSheetId="3">QualityHomeProfile!$O$6:$W$14</definedName>
    <definedName name="_xlnm.Print_Area" localSheetId="0">'VariablesINPUT-CTR'!$A$2:$M$21</definedName>
    <definedName name="_xlnm.Print_Area" localSheetId="2">'VariablesINPUT-FCC'!$A$2:$K$21</definedName>
    <definedName name="ProfDev" localSheetId="9">'[1]VariablesINPUT-CTR'!$D$23</definedName>
    <definedName name="ProfDev" localSheetId="10">'[1]VariablesINPUT-CTR'!$D$23</definedName>
    <definedName name="ProfDev" localSheetId="8">'[1]VariablesINPUT-CTR'!$D$23</definedName>
    <definedName name="ProfDev">'VariablesINPUT-CTR'!#REF!</definedName>
    <definedName name="QualityVarCost">'[3]Quality Home Profile'!$D$50</definedName>
    <definedName name="RatioOpt">'VariablesINPUT-CTR'!$G$2</definedName>
    <definedName name="Region" localSheetId="9">'[1]VariablesINPUT-CTR'!$G$2</definedName>
    <definedName name="Region" localSheetId="10">'[1]VariablesINPUT-CTR'!$G$2</definedName>
    <definedName name="Region" localSheetId="8">'[1]VariablesINPUT-CTR'!$G$2</definedName>
    <definedName name="Region">'VariablesINPUT-CTR'!$G$3</definedName>
    <definedName name="RegionFCC">'VariablesINPUT-FCC'!$F$3</definedName>
    <definedName name="Reserve_Fund" localSheetId="9">'[1]Quality Center Profile'!$D$51</definedName>
    <definedName name="Reserve_Fund" localSheetId="10">'[1]Quality Center Profile'!$D$51</definedName>
    <definedName name="Reserve_Fund" localSheetId="8">'[1]Quality Center Profile'!$D$51</definedName>
    <definedName name="Reserve_Fund" localSheetId="2">'[2]Quality Center Profile'!$D$51</definedName>
    <definedName name="Reserve_Fund">'Quality Center Profile'!$D$56</definedName>
    <definedName name="Reserve_Fund2">'[3]Quality Home Profile'!$D$59</definedName>
    <definedName name="Salary">'VariablesINPUT-CTR'!$D$23</definedName>
    <definedName name="SalaryData" localSheetId="9">'[1]VariablesINPUT-CTR'!#REF!</definedName>
    <definedName name="SalaryData" localSheetId="10">'[1]VariablesINPUT-CTR'!#REF!</definedName>
    <definedName name="SalaryData" localSheetId="8">'[1]VariablesINPUT-CTR'!#REF!</definedName>
    <definedName name="SalaryData">'VariablesINPUT-CTR'!#REF!</definedName>
    <definedName name="SalaryLevel">'VariablesINPUT-CTR'!$D$23</definedName>
    <definedName name="SalaryScale" localSheetId="9">'[1]VariablesINPUT-CTR'!$D$21</definedName>
    <definedName name="SalaryScale" localSheetId="10">'[1]VariablesINPUT-CTR'!$D$21</definedName>
    <definedName name="SalaryScale" localSheetId="8">'[1]VariablesINPUT-CTR'!$D$21</definedName>
    <definedName name="SalaryScale">'VariablesINPUT-CTR'!#REF!</definedName>
    <definedName name="SalaryScaleFCC">'VariablesINPUT-FCC'!$D$23</definedName>
    <definedName name="SchoolageClassroom">'Quality Center Profile'!$F$11</definedName>
    <definedName name="Schoolagers">'Quality Center Profile'!$A$11</definedName>
    <definedName name="Sick_Days" localSheetId="9">'[1]VariablesINPUT-CTR'!$D$26</definedName>
    <definedName name="Sick_Days" localSheetId="10">'[1]VariablesINPUT-CTR'!$D$26</definedName>
    <definedName name="Sick_Days" localSheetId="8">'[1]VariablesINPUT-CTR'!$D$26</definedName>
    <definedName name="Sick_Days">'VariablesINPUT-CTR'!$D$28</definedName>
    <definedName name="SickDaysFCC">'VariablesINPUT-FCC'!$D$28</definedName>
    <definedName name="StarLevel" localSheetId="9">'[1]VariablesINPUT-CTR'!$G$1</definedName>
    <definedName name="StarLevel" localSheetId="10">'[1]VariablesINPUT-CTR'!$G$1</definedName>
    <definedName name="StarLevel" localSheetId="8">'[1]VariablesINPUT-CTR'!$G$1</definedName>
    <definedName name="StarLevel">'VariablesINPUT-CTR'!$G$2</definedName>
    <definedName name="Subs" localSheetId="9">'[1]Quality Center Profile'!$D$32</definedName>
    <definedName name="Subs" localSheetId="10">'[1]Quality Center Profile'!$D$32</definedName>
    <definedName name="Subs" localSheetId="8">'[1]Quality Center Profile'!$D$32</definedName>
    <definedName name="Subs" localSheetId="2">'[2]Quality Center Profile'!$D$32</definedName>
    <definedName name="Subs">'Quality Center Profile'!$D$35</definedName>
    <definedName name="Threes" localSheetId="9">'[1]Quality Center Profile'!$A$10</definedName>
    <definedName name="Threes" localSheetId="10">'[1]Quality Center Profile'!$A$10</definedName>
    <definedName name="Threes" localSheetId="8">'[1]Quality Center Profile'!$A$10</definedName>
    <definedName name="Threes">'Quality Center Profile'!#REF!</definedName>
    <definedName name="Threes_Private_Tuition" localSheetId="2">'VariablesINPUT-FCC'!#REF!</definedName>
    <definedName name="Threes_Private_Tuition">'VariablesINPUT-CTR'!#REF!</definedName>
    <definedName name="THREES_tuition">#REF!</definedName>
    <definedName name="ThreesClassroom">'Quality Center Profile'!#REF!</definedName>
    <definedName name="ThreesClassrooms" localSheetId="9">'[1]Quality Center Profile'!$F$10</definedName>
    <definedName name="ThreesClassrooms" localSheetId="10">'[1]Quality Center Profile'!$F$10</definedName>
    <definedName name="ThreesClassrooms" localSheetId="8">'[1]Quality Center Profile'!$F$10</definedName>
    <definedName name="ThreesClassrooms">'Quality Center Profile'!$F$9</definedName>
    <definedName name="TODDLER_Tuition">#REF!</definedName>
    <definedName name="ToddlerClassrooms" localSheetId="9">'[1]Quality Center Profile'!$F$8</definedName>
    <definedName name="ToddlerClassrooms" localSheetId="10">'[1]Quality Center Profile'!$F$8</definedName>
    <definedName name="ToddlerClassrooms" localSheetId="8">'[1]Quality Center Profile'!$F$8</definedName>
    <definedName name="ToddlerClassrooms" localSheetId="2">'[2]Quality Center Profile'!$F$8</definedName>
    <definedName name="ToddlerClassrooms">'Quality Center Profile'!$F$8</definedName>
    <definedName name="Toddlers" localSheetId="9">'[1]Quality Center Profile'!$A$8</definedName>
    <definedName name="Toddlers" localSheetId="10">'[1]Quality Center Profile'!$A$8</definedName>
    <definedName name="Toddlers" localSheetId="8">'[1]Quality Center Profile'!$A$8</definedName>
    <definedName name="Toddlers" localSheetId="2">'[2]Quality Center Profile'!$A$8</definedName>
    <definedName name="Toddlers">'Quality Center Profile'!$A$8</definedName>
    <definedName name="TOTAL_Children">#REF!</definedName>
    <definedName name="TotalChildren" localSheetId="9">'[1]Quality Center Profile'!$A$12</definedName>
    <definedName name="TotalChildren" localSheetId="10">'[1]Quality Center Profile'!$A$12</definedName>
    <definedName name="TotalChildren" localSheetId="8">'[1]Quality Center Profile'!$A$12</definedName>
    <definedName name="TotalChildren" localSheetId="2">'[2]Quality Center Profile'!$A$12</definedName>
    <definedName name="TotalChildren">'Quality Center Profile'!$A$12</definedName>
    <definedName name="TotalClassrooms" localSheetId="9">'[1]Quality Center Profile'!$F$12</definedName>
    <definedName name="TotalClassrooms" localSheetId="10">'[1]Quality Center Profile'!$F$12</definedName>
    <definedName name="TotalClassrooms" localSheetId="8">'[1]Quality Center Profile'!$F$12</definedName>
    <definedName name="TotalClassrooms" localSheetId="2">'[2]Quality Center Profile'!$F$12</definedName>
    <definedName name="TotalClassrooms">'Quality Center Profile'!$F$12</definedName>
    <definedName name="Twos" localSheetId="9">'[1]Quality Center Profile'!$A$9</definedName>
    <definedName name="Twos" localSheetId="10">'[1]Quality Center Profile'!$A$9</definedName>
    <definedName name="Twos" localSheetId="8">'[1]Quality Center Profile'!$A$9</definedName>
    <definedName name="Twos">'Quality Center Profile'!$A$9</definedName>
    <definedName name="Twos_Private_Tuition">'VariablesINPUT-CTR'!#REF!</definedName>
    <definedName name="TwosClassroom">'Quality Center Profile'!$F$9</definedName>
    <definedName name="TwosClassrooms" localSheetId="9">'[1]Quality Center Profile'!$F$9</definedName>
    <definedName name="TwosClassrooms" localSheetId="10">'[1]Quality Center Profile'!$F$9</definedName>
    <definedName name="TwosClassrooms" localSheetId="8">'[1]Quality Center Profile'!$F$9</definedName>
    <definedName name="TwosClassrooms">'Quality Center Profile'!$F$9</definedName>
    <definedName name="User">'VariablesINPUT-CTR'!#REF!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9">'[1]VariablesINPUT-CTR'!#REF!</definedName>
    <definedName name="Yes" localSheetId="10">'[1]VariablesINPUT-CTR'!#REF!</definedName>
    <definedName name="Yes" localSheetId="8">'[1]VariablesINPUT-CTR'!#REF!</definedName>
    <definedName name="Yes">'VariablesINPUT-CTR'!#REF!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E26" i="1"/>
  <c r="F26" i="1"/>
  <c r="H24" i="1"/>
  <c r="G24" i="1"/>
  <c r="F24" i="1"/>
  <c r="H23" i="1"/>
  <c r="G23" i="1"/>
  <c r="F23" i="1"/>
  <c r="H25" i="1"/>
  <c r="G25" i="1"/>
  <c r="F25" i="1"/>
  <c r="E25" i="1"/>
  <c r="E24" i="1"/>
  <c r="E23" i="1"/>
  <c r="F9" i="35"/>
  <c r="F10" i="35"/>
  <c r="F11" i="35"/>
  <c r="F12" i="35"/>
  <c r="F8" i="35"/>
  <c r="E9" i="35"/>
  <c r="E10" i="35"/>
  <c r="E11" i="35"/>
  <c r="E12" i="35"/>
  <c r="E8" i="35"/>
  <c r="F20" i="1"/>
  <c r="G20" i="1"/>
  <c r="H20" i="1"/>
  <c r="E20" i="1"/>
  <c r="F19" i="1"/>
  <c r="G19" i="1"/>
  <c r="H19" i="1"/>
  <c r="E19" i="1"/>
  <c r="G18" i="1"/>
  <c r="H18" i="1"/>
  <c r="F18" i="1"/>
  <c r="E18" i="1"/>
  <c r="E1" i="1"/>
  <c r="B47" i="35"/>
  <c r="J9" i="103"/>
  <c r="D54" i="101"/>
  <c r="D40" i="100"/>
  <c r="D41" i="100"/>
  <c r="D42" i="100"/>
  <c r="D43" i="100"/>
  <c r="D39" i="100"/>
  <c r="F65" i="1" l="1"/>
  <c r="G65" i="1"/>
  <c r="H65" i="1"/>
  <c r="I65" i="1"/>
  <c r="J65" i="1"/>
  <c r="C74" i="100"/>
  <c r="I65" i="100"/>
  <c r="H65" i="100"/>
  <c r="G65" i="100"/>
  <c r="C71" i="35" l="1"/>
  <c r="M33" i="77"/>
  <c r="M39" i="77"/>
  <c r="K40" i="77"/>
  <c r="J46" i="77"/>
  <c r="K39" i="77"/>
  <c r="K38" i="77"/>
  <c r="K13" i="77"/>
  <c r="K12" i="77"/>
  <c r="E41" i="77"/>
  <c r="E39" i="77"/>
  <c r="F6" i="77"/>
  <c r="F39" i="77" s="1"/>
  <c r="E44" i="77"/>
  <c r="D44" i="77"/>
  <c r="J38" i="77"/>
  <c r="J45" i="77"/>
  <c r="I44" i="77"/>
  <c r="K4" i="77"/>
  <c r="J40" i="77"/>
  <c r="L40" i="77" s="1"/>
  <c r="M38" i="77"/>
  <c r="G61" i="77" l="1"/>
  <c r="H38" i="91"/>
  <c r="G38" i="91"/>
  <c r="F39" i="91"/>
  <c r="I17" i="101" l="1"/>
  <c r="J17" i="101"/>
  <c r="K17" i="101"/>
  <c r="H17" i="101"/>
  <c r="I16" i="101"/>
  <c r="J16" i="101"/>
  <c r="K16" i="101"/>
  <c r="H16" i="101"/>
  <c r="E56" i="91"/>
  <c r="K55" i="91"/>
  <c r="I55" i="91"/>
  <c r="J55" i="91"/>
  <c r="H55" i="91"/>
  <c r="I56" i="91"/>
  <c r="J56" i="91"/>
  <c r="K56" i="91"/>
  <c r="I57" i="91"/>
  <c r="J57" i="91"/>
  <c r="K57" i="91"/>
  <c r="I58" i="91"/>
  <c r="J58" i="91"/>
  <c r="K58" i="91"/>
  <c r="I59" i="91"/>
  <c r="J59" i="91"/>
  <c r="K59" i="91"/>
  <c r="I60" i="91"/>
  <c r="J60" i="91"/>
  <c r="K60" i="91"/>
  <c r="I61" i="91"/>
  <c r="J61" i="91"/>
  <c r="K61" i="91"/>
  <c r="H57" i="91"/>
  <c r="H58" i="91"/>
  <c r="H59" i="91"/>
  <c r="H60" i="91"/>
  <c r="H61" i="91"/>
  <c r="H56" i="91"/>
  <c r="G56" i="91" l="1"/>
  <c r="C59" i="91"/>
  <c r="F48" i="91"/>
  <c r="F59" i="91"/>
  <c r="D42" i="101" l="1"/>
  <c r="C61" i="100" s="1"/>
  <c r="M40" i="77"/>
  <c r="C45" i="1" l="1"/>
  <c r="H32" i="101" s="1"/>
  <c r="K32" i="77" l="1"/>
  <c r="K35" i="77" s="1"/>
  <c r="K33" i="77"/>
  <c r="K30" i="77"/>
  <c r="K28" i="77"/>
  <c r="K29" i="77"/>
  <c r="K27" i="77"/>
  <c r="K25" i="77"/>
  <c r="K24" i="77"/>
  <c r="K23" i="77"/>
  <c r="K22" i="77"/>
  <c r="K21" i="77"/>
  <c r="K20" i="77"/>
  <c r="K5" i="77"/>
  <c r="K6" i="77"/>
  <c r="K7" i="77"/>
  <c r="K8" i="77"/>
  <c r="K9" i="77"/>
  <c r="K10" i="77"/>
  <c r="K11" i="77"/>
  <c r="K14" i="77"/>
  <c r="K15" i="77"/>
  <c r="K16" i="77"/>
  <c r="K17" i="77"/>
  <c r="G39" i="91" l="1"/>
  <c r="F57" i="77"/>
  <c r="F61" i="77" s="1"/>
  <c r="F58" i="77"/>
  <c r="F59" i="77"/>
  <c r="F60" i="77"/>
  <c r="B61" i="77"/>
  <c r="F6" i="91" l="1"/>
  <c r="C56" i="91"/>
  <c r="C57" i="91"/>
  <c r="C46" i="91"/>
  <c r="C48" i="91"/>
  <c r="C61" i="91"/>
  <c r="E61" i="91" s="1"/>
  <c r="C58" i="91"/>
  <c r="E58" i="91" s="1"/>
  <c r="B58" i="91"/>
  <c r="F3" i="91" l="1"/>
  <c r="F4" i="91"/>
  <c r="C60" i="91"/>
  <c r="D58" i="91"/>
  <c r="B61" i="91"/>
  <c r="D61" i="91"/>
  <c r="E40" i="77"/>
  <c r="B60" i="91" l="1"/>
  <c r="E60" i="91"/>
  <c r="D60" i="91"/>
  <c r="E59" i="91"/>
  <c r="D59" i="91"/>
  <c r="B59" i="91"/>
  <c r="D57" i="91" l="1"/>
  <c r="E57" i="91"/>
  <c r="B57" i="91"/>
  <c r="A20" i="91"/>
  <c r="A20" i="77"/>
  <c r="A19" i="91"/>
  <c r="A19" i="77"/>
  <c r="A28" i="77"/>
  <c r="D56" i="91" l="1"/>
  <c r="B56" i="91"/>
  <c r="F56" i="91" s="1"/>
  <c r="F33" i="77"/>
  <c r="F31" i="77"/>
  <c r="F18" i="77"/>
  <c r="F17" i="77"/>
  <c r="F16" i="77"/>
  <c r="F40" i="77" s="1"/>
  <c r="F7" i="77"/>
  <c r="F8" i="77"/>
  <c r="F9" i="77"/>
  <c r="F10" i="77"/>
  <c r="F11" i="77"/>
  <c r="F12" i="77"/>
  <c r="F13" i="77"/>
  <c r="F14" i="77"/>
  <c r="C4" i="104"/>
  <c r="E24" i="102"/>
  <c r="D24" i="102"/>
  <c r="C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E15" i="102"/>
  <c r="E14" i="102"/>
  <c r="E13" i="102"/>
  <c r="E12" i="102"/>
  <c r="E11" i="102"/>
  <c r="D14" i="102"/>
  <c r="D13" i="102"/>
  <c r="D12" i="102"/>
  <c r="D11" i="102"/>
  <c r="C14" i="102"/>
  <c r="C13" i="102"/>
  <c r="C12" i="102"/>
  <c r="C11" i="102"/>
  <c r="E6" i="102"/>
  <c r="E3" i="102"/>
  <c r="D5" i="102"/>
  <c r="D4" i="102"/>
  <c r="D3" i="102"/>
  <c r="B25" i="91"/>
  <c r="A27" i="77" l="1"/>
  <c r="E34" i="77" s="1"/>
  <c r="C3" i="102" l="1"/>
  <c r="C4" i="102"/>
  <c r="C5" i="102"/>
  <c r="C6" i="102"/>
  <c r="C7" i="102"/>
  <c r="D6" i="102"/>
  <c r="D7" i="102"/>
  <c r="E4" i="102"/>
  <c r="E5" i="102"/>
  <c r="E7" i="102"/>
  <c r="F29" i="91"/>
  <c r="A6" i="101" l="1"/>
  <c r="A7" i="101"/>
  <c r="B48" i="91" l="1"/>
  <c r="C45" i="91"/>
  <c r="B45" i="91" s="1"/>
  <c r="F45" i="91" s="1"/>
  <c r="C37" i="91"/>
  <c r="C26" i="91"/>
  <c r="J27" i="91" s="1"/>
  <c r="C47" i="91"/>
  <c r="G45" i="91"/>
  <c r="B47" i="91" s="1"/>
  <c r="C50" i="91"/>
  <c r="E50" i="91" s="1"/>
  <c r="D47" i="91"/>
  <c r="C49" i="91" l="1"/>
  <c r="B46" i="91"/>
  <c r="B50" i="91"/>
  <c r="E49" i="91"/>
  <c r="E48" i="91"/>
  <c r="D48" i="91"/>
  <c r="E47" i="91"/>
  <c r="D50" i="91"/>
  <c r="E27" i="91" l="1"/>
  <c r="E28" i="35"/>
  <c r="B49" i="91"/>
  <c r="D49" i="91"/>
  <c r="E46" i="91"/>
  <c r="D46" i="91"/>
  <c r="F49" i="91" l="1"/>
  <c r="D45" i="91"/>
  <c r="E45" i="91"/>
  <c r="G35" i="91" l="1"/>
  <c r="C38" i="91" s="1"/>
  <c r="E37" i="91"/>
  <c r="C40" i="91"/>
  <c r="D40" i="91" s="1"/>
  <c r="B38" i="91" l="1"/>
  <c r="F38" i="91" s="1"/>
  <c r="C36" i="91"/>
  <c r="D37" i="91"/>
  <c r="C39" i="91"/>
  <c r="B37" i="91"/>
  <c r="B39" i="91"/>
  <c r="M17" i="101" s="1"/>
  <c r="B40" i="91"/>
  <c r="E40" i="91"/>
  <c r="G4" i="104"/>
  <c r="G16" i="104"/>
  <c r="B49" i="77"/>
  <c r="D39" i="91" l="1"/>
  <c r="E39" i="91"/>
  <c r="C35" i="91"/>
  <c r="B35" i="91" s="1"/>
  <c r="D36" i="91"/>
  <c r="B36" i="91"/>
  <c r="D38" i="91"/>
  <c r="E38" i="91"/>
  <c r="C12" i="100"/>
  <c r="D35" i="91" l="1"/>
  <c r="E35" i="91"/>
  <c r="L38" i="77" l="1"/>
  <c r="N5" i="77"/>
  <c r="N6" i="77"/>
  <c r="N7" i="77"/>
  <c r="N8" i="77"/>
  <c r="N9" i="77"/>
  <c r="N10" i="77"/>
  <c r="N11" i="77"/>
  <c r="N13" i="77"/>
  <c r="N14" i="77"/>
  <c r="N15" i="77"/>
  <c r="N16" i="77"/>
  <c r="N17" i="77"/>
  <c r="N4" i="77"/>
  <c r="G13" i="35"/>
  <c r="K108" i="104" l="1"/>
  <c r="L108" i="104"/>
  <c r="C104" i="104"/>
  <c r="C107" i="104"/>
  <c r="G108" i="104"/>
  <c r="F108" i="104"/>
  <c r="E108" i="104"/>
  <c r="D108" i="104"/>
  <c r="J108" i="104" s="1"/>
  <c r="C108" i="104"/>
  <c r="I108" i="104" s="1"/>
  <c r="D101" i="104"/>
  <c r="J101" i="104" s="1"/>
  <c r="E101" i="104"/>
  <c r="K101" i="104" s="1"/>
  <c r="F101" i="104"/>
  <c r="L101" i="104" s="1"/>
  <c r="G101" i="104"/>
  <c r="C101" i="104"/>
  <c r="I101" i="104" s="1"/>
  <c r="G78" i="104"/>
  <c r="F78" i="104"/>
  <c r="L78" i="104" s="1"/>
  <c r="E78" i="104"/>
  <c r="K78" i="104" s="1"/>
  <c r="D78" i="104"/>
  <c r="J78" i="104" s="1"/>
  <c r="C78" i="104"/>
  <c r="I78" i="104" s="1"/>
  <c r="G85" i="104"/>
  <c r="F85" i="104"/>
  <c r="L85" i="104" s="1"/>
  <c r="E85" i="104"/>
  <c r="K85" i="104" s="1"/>
  <c r="D85" i="104"/>
  <c r="J85" i="104" s="1"/>
  <c r="C85" i="104"/>
  <c r="I85" i="104" s="1"/>
  <c r="B47" i="100" l="1"/>
  <c r="C7" i="91"/>
  <c r="B18" i="91"/>
  <c r="C18" i="91" s="1"/>
  <c r="L23" i="77" l="1"/>
  <c r="C32" i="101"/>
  <c r="C70" i="1" l="1"/>
  <c r="F36" i="104"/>
  <c r="G107" i="104"/>
  <c r="G61" i="104" s="1"/>
  <c r="F107" i="104"/>
  <c r="F61" i="104" s="1"/>
  <c r="E107" i="104"/>
  <c r="E61" i="104" s="1"/>
  <c r="D107" i="104"/>
  <c r="D61" i="104" s="1"/>
  <c r="C61" i="104"/>
  <c r="G100" i="104"/>
  <c r="F100" i="104"/>
  <c r="F60" i="104" s="1"/>
  <c r="E100" i="104"/>
  <c r="E60" i="104" s="1"/>
  <c r="D100" i="104"/>
  <c r="D60" i="104" s="1"/>
  <c r="G104" i="104"/>
  <c r="G43" i="104" s="1"/>
  <c r="F104" i="104"/>
  <c r="F43" i="104" s="1"/>
  <c r="E104" i="104"/>
  <c r="E43" i="104" s="1"/>
  <c r="D104" i="104"/>
  <c r="D43" i="104" s="1"/>
  <c r="C43" i="104"/>
  <c r="D59" i="104"/>
  <c r="E59" i="104"/>
  <c r="F59" i="104"/>
  <c r="G59" i="104"/>
  <c r="G60" i="104"/>
  <c r="C60" i="104"/>
  <c r="C59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C55" i="104"/>
  <c r="C54" i="104"/>
  <c r="C53" i="104"/>
  <c r="G47" i="104"/>
  <c r="G48" i="104"/>
  <c r="G49" i="104"/>
  <c r="D47" i="104"/>
  <c r="E47" i="104"/>
  <c r="F47" i="104"/>
  <c r="D48" i="104"/>
  <c r="E48" i="104"/>
  <c r="F48" i="104"/>
  <c r="D49" i="104"/>
  <c r="E49" i="104"/>
  <c r="F49" i="104"/>
  <c r="C49" i="104"/>
  <c r="C48" i="104"/>
  <c r="C47" i="104"/>
  <c r="D41" i="104"/>
  <c r="E41" i="104"/>
  <c r="F41" i="104"/>
  <c r="G41" i="104"/>
  <c r="D42" i="104"/>
  <c r="E42" i="104"/>
  <c r="F42" i="104"/>
  <c r="G42" i="104"/>
  <c r="C42" i="104"/>
  <c r="C41" i="104"/>
  <c r="G37" i="104"/>
  <c r="D37" i="104"/>
  <c r="E37" i="104"/>
  <c r="F37" i="104"/>
  <c r="D36" i="104"/>
  <c r="E36" i="104"/>
  <c r="G36" i="104"/>
  <c r="G35" i="104"/>
  <c r="D35" i="104"/>
  <c r="E35" i="104"/>
  <c r="F35" i="104"/>
  <c r="C37" i="104"/>
  <c r="C36" i="104"/>
  <c r="C35" i="104"/>
  <c r="G7" i="91" l="1"/>
  <c r="G6" i="91"/>
  <c r="C9" i="1"/>
  <c r="B26" i="91"/>
  <c r="B28" i="91"/>
  <c r="F28" i="91" s="1"/>
  <c r="G25" i="91"/>
  <c r="G14" i="91"/>
  <c r="B17" i="91"/>
  <c r="B15" i="91"/>
  <c r="B14" i="91"/>
  <c r="D65" i="1" l="1"/>
  <c r="C70" i="35" s="1"/>
  <c r="K23" i="1"/>
  <c r="K25" i="1"/>
  <c r="M16" i="101"/>
  <c r="E36" i="91"/>
  <c r="E15" i="103"/>
  <c r="F15" i="103" s="1"/>
  <c r="E14" i="103"/>
  <c r="F14" i="103" s="1"/>
  <c r="A8" i="101"/>
  <c r="A9" i="101"/>
  <c r="A10" i="101"/>
  <c r="A11" i="101" l="1"/>
  <c r="D39" i="101" s="1"/>
  <c r="C59" i="100" s="1"/>
  <c r="A13" i="101"/>
  <c r="A12" i="101"/>
  <c r="E12" i="100"/>
  <c r="H62" i="100" l="1"/>
  <c r="H60" i="100"/>
  <c r="H61" i="100"/>
  <c r="H59" i="100"/>
  <c r="H63" i="100"/>
  <c r="D40" i="101"/>
  <c r="C60" i="100" s="1"/>
  <c r="J56" i="101"/>
  <c r="G56" i="101"/>
  <c r="I56" i="101"/>
  <c r="H56" i="101"/>
  <c r="F56" i="101"/>
  <c r="F12" i="100"/>
  <c r="E28" i="77" l="1"/>
  <c r="A17" i="101"/>
  <c r="A18" i="101"/>
  <c r="F32" i="101" s="1"/>
  <c r="A20" i="101" l="1"/>
  <c r="C52" i="100" s="1"/>
  <c r="C27" i="91"/>
  <c r="E32" i="101" l="1"/>
  <c r="D32" i="101" s="1"/>
  <c r="F11" i="1" l="1"/>
  <c r="A25" i="1" l="1"/>
  <c r="H5" i="91"/>
  <c r="H6" i="91" s="1"/>
  <c r="H3" i="91"/>
  <c r="H4" i="91" s="1"/>
  <c r="F8" i="91"/>
  <c r="F7" i="91"/>
  <c r="C30" i="91"/>
  <c r="C19" i="91"/>
  <c r="C16" i="91"/>
  <c r="C29" i="91"/>
  <c r="C25" i="91"/>
  <c r="C28" i="91"/>
  <c r="C14" i="91"/>
  <c r="D14" i="91" s="1"/>
  <c r="C15" i="91"/>
  <c r="C17" i="91"/>
  <c r="K26" i="1" l="1"/>
  <c r="E27" i="1"/>
  <c r="E28" i="1" s="1"/>
  <c r="K28" i="1" s="1"/>
  <c r="F27" i="1"/>
  <c r="F28" i="1" s="1"/>
  <c r="L28" i="1" s="1"/>
  <c r="G27" i="1"/>
  <c r="G28" i="1" s="1"/>
  <c r="H27" i="1"/>
  <c r="H28" i="1" s="1"/>
  <c r="L26" i="1"/>
  <c r="J29" i="91"/>
  <c r="N17" i="101"/>
  <c r="J28" i="91"/>
  <c r="H32" i="91"/>
  <c r="N16" i="101"/>
  <c r="L23" i="1"/>
  <c r="L25" i="1"/>
  <c r="D25" i="91"/>
  <c r="E30" i="91"/>
  <c r="D30" i="91"/>
  <c r="F5" i="91"/>
  <c r="L19" i="1"/>
  <c r="K24" i="1" l="1"/>
  <c r="L24" i="1"/>
  <c r="K27" i="1"/>
  <c r="N20" i="1"/>
  <c r="L20" i="1"/>
  <c r="L18" i="1"/>
  <c r="M18" i="1"/>
  <c r="L27" i="1"/>
  <c r="M28" i="1"/>
  <c r="M27" i="1"/>
  <c r="N27" i="1"/>
  <c r="N28" i="1"/>
  <c r="C5" i="91"/>
  <c r="D6" i="91"/>
  <c r="D4" i="91"/>
  <c r="D5" i="91"/>
  <c r="D7" i="91"/>
  <c r="D8" i="91"/>
  <c r="D3" i="91"/>
  <c r="E16" i="91"/>
  <c r="E17" i="91"/>
  <c r="E18" i="91"/>
  <c r="E19" i="91"/>
  <c r="E15" i="91"/>
  <c r="E14" i="91"/>
  <c r="C3" i="91"/>
  <c r="C8" i="91"/>
  <c r="C6" i="91"/>
  <c r="C4" i="91"/>
  <c r="I27" i="1" l="1"/>
  <c r="O27" i="1" s="1"/>
  <c r="F30" i="104"/>
  <c r="F29" i="104"/>
  <c r="F28" i="104"/>
  <c r="F24" i="104"/>
  <c r="F23" i="104"/>
  <c r="F22" i="104"/>
  <c r="F18" i="104"/>
  <c r="F17" i="104"/>
  <c r="F16" i="104"/>
  <c r="F12" i="104"/>
  <c r="F11" i="104"/>
  <c r="F10" i="104"/>
  <c r="F6" i="104"/>
  <c r="F5" i="104"/>
  <c r="F4" i="104"/>
  <c r="G61" i="35"/>
  <c r="D5" i="104"/>
  <c r="E5" i="104"/>
  <c r="G5" i="104"/>
  <c r="D6" i="104"/>
  <c r="E6" i="104"/>
  <c r="G6" i="104"/>
  <c r="D11" i="104"/>
  <c r="E11" i="104"/>
  <c r="G11" i="104"/>
  <c r="D12" i="104"/>
  <c r="E12" i="104"/>
  <c r="G12" i="104"/>
  <c r="D17" i="104"/>
  <c r="E17" i="104"/>
  <c r="G17" i="104"/>
  <c r="D18" i="104"/>
  <c r="E18" i="104"/>
  <c r="G18" i="104"/>
  <c r="D23" i="104"/>
  <c r="E23" i="104"/>
  <c r="G23" i="104"/>
  <c r="D24" i="104"/>
  <c r="E24" i="104"/>
  <c r="G24" i="104"/>
  <c r="D29" i="104"/>
  <c r="E29" i="104"/>
  <c r="G29" i="104"/>
  <c r="D30" i="104"/>
  <c r="E30" i="104"/>
  <c r="G30" i="104"/>
  <c r="C30" i="104"/>
  <c r="C24" i="104"/>
  <c r="C18" i="104"/>
  <c r="C12" i="104"/>
  <c r="C6" i="104"/>
  <c r="C23" i="104"/>
  <c r="C17" i="104"/>
  <c r="C11" i="104"/>
  <c r="C5" i="104"/>
  <c r="C29" i="104"/>
  <c r="D16" i="104"/>
  <c r="E16" i="104"/>
  <c r="D10" i="104"/>
  <c r="E10" i="104"/>
  <c r="G10" i="104"/>
  <c r="D4" i="104"/>
  <c r="E4" i="104"/>
  <c r="C10" i="104"/>
  <c r="C16" i="104"/>
  <c r="C28" i="104"/>
  <c r="C22" i="104"/>
  <c r="D22" i="104"/>
  <c r="E22" i="104"/>
  <c r="G22" i="104"/>
  <c r="D28" i="104"/>
  <c r="E28" i="104"/>
  <c r="G28" i="104"/>
  <c r="D1" i="101"/>
  <c r="J32" i="77"/>
  <c r="L32" i="77"/>
  <c r="M30" i="77"/>
  <c r="M25" i="77"/>
  <c r="J25" i="77"/>
  <c r="M12" i="77"/>
  <c r="A19" i="101" l="1"/>
  <c r="M42" i="77"/>
  <c r="M32" i="77"/>
  <c r="N12" i="77"/>
  <c r="F61" i="35"/>
  <c r="E6" i="77"/>
  <c r="F6" i="105" l="1"/>
  <c r="E6" i="105"/>
  <c r="C6" i="105"/>
  <c r="D6" i="105"/>
  <c r="C7" i="105"/>
  <c r="F7" i="105"/>
  <c r="E7" i="105"/>
  <c r="D7" i="105"/>
  <c r="I55" i="101" l="1"/>
  <c r="J55" i="101"/>
  <c r="H55" i="101"/>
  <c r="F55" i="101"/>
  <c r="G55" i="101"/>
  <c r="B40" i="100"/>
  <c r="B41" i="100"/>
  <c r="B42" i="100"/>
  <c r="B43" i="100"/>
  <c r="B39" i="100"/>
  <c r="C44" i="100"/>
  <c r="D45" i="100"/>
  <c r="C72" i="100"/>
  <c r="C62" i="101"/>
  <c r="C61" i="101"/>
  <c r="B7" i="105"/>
  <c r="B6" i="105"/>
  <c r="L8" i="103"/>
  <c r="H8" i="103"/>
  <c r="J8" i="103" s="1"/>
  <c r="L7" i="103"/>
  <c r="H7" i="103"/>
  <c r="J7" i="103" s="1"/>
  <c r="L6" i="103"/>
  <c r="H6" i="103"/>
  <c r="J6" i="103" s="1"/>
  <c r="D45" i="35"/>
  <c r="A63" i="1" s="1"/>
  <c r="B40" i="35"/>
  <c r="B41" i="35"/>
  <c r="B42" i="35"/>
  <c r="B43" i="35"/>
  <c r="B39" i="35"/>
  <c r="C44" i="35"/>
  <c r="E51" i="35"/>
  <c r="E52" i="35"/>
  <c r="E53" i="35"/>
  <c r="E54" i="35"/>
  <c r="E55" i="35"/>
  <c r="A56" i="101" l="1"/>
  <c r="D44" i="100"/>
  <c r="A65" i="1"/>
  <c r="D55" i="101"/>
  <c r="C70" i="100" s="1"/>
  <c r="A54" i="101"/>
  <c r="C73" i="100"/>
  <c r="L30" i="77" l="1"/>
  <c r="J30" i="77"/>
  <c r="J33" i="77" s="1"/>
  <c r="L20" i="77"/>
  <c r="L25" i="77" s="1"/>
  <c r="L33" i="77" s="1"/>
  <c r="J39" i="77" s="1"/>
  <c r="L39" i="77" l="1"/>
  <c r="D15" i="102"/>
  <c r="F54" i="100"/>
  <c r="F78" i="100" s="1"/>
  <c r="F85" i="100" s="1"/>
  <c r="C15" i="102"/>
  <c r="F60" i="100"/>
  <c r="F61" i="100"/>
  <c r="F62" i="100"/>
  <c r="F63" i="100"/>
  <c r="F59" i="100"/>
  <c r="H61" i="35"/>
  <c r="F70" i="100" l="1"/>
  <c r="F67" i="100"/>
  <c r="F69" i="100"/>
  <c r="F68" i="100"/>
  <c r="F66" i="100"/>
  <c r="G62" i="100"/>
  <c r="G60" i="35"/>
  <c r="G61" i="100"/>
  <c r="G60" i="100"/>
  <c r="G59" i="100"/>
  <c r="D46" i="100"/>
  <c r="C69" i="100"/>
  <c r="E66" i="35"/>
  <c r="E67" i="35"/>
  <c r="E68" i="35"/>
  <c r="E69" i="35"/>
  <c r="E62" i="35"/>
  <c r="I62" i="100" l="1"/>
  <c r="I60" i="100"/>
  <c r="D56" i="101"/>
  <c r="C71" i="100" s="1"/>
  <c r="C75" i="100" s="1"/>
  <c r="A55" i="101"/>
  <c r="I61" i="100"/>
  <c r="I59" i="100"/>
  <c r="B11" i="1"/>
  <c r="H55" i="1" s="1"/>
  <c r="D58" i="101" l="1"/>
  <c r="A52" i="101"/>
  <c r="G11" i="1"/>
  <c r="E65" i="35"/>
  <c r="E59" i="35"/>
  <c r="E60" i="35"/>
  <c r="E61" i="35"/>
  <c r="E58" i="35"/>
  <c r="B80" i="91"/>
  <c r="B82" i="91"/>
  <c r="B83" i="91"/>
  <c r="B84" i="91"/>
  <c r="B85" i="91"/>
  <c r="B86" i="91"/>
  <c r="B87" i="91"/>
  <c r="B88" i="91"/>
  <c r="B89" i="91"/>
  <c r="B79" i="91"/>
  <c r="P66" i="91"/>
  <c r="P67" i="91"/>
  <c r="P76" i="91"/>
  <c r="P75" i="91"/>
  <c r="P74" i="91"/>
  <c r="P73" i="91"/>
  <c r="P72" i="91"/>
  <c r="P71" i="91"/>
  <c r="P70" i="91"/>
  <c r="P69" i="91"/>
  <c r="J80" i="91"/>
  <c r="J81" i="91"/>
  <c r="J82" i="91"/>
  <c r="J83" i="91"/>
  <c r="J84" i="91"/>
  <c r="J79" i="91"/>
  <c r="E32" i="1"/>
  <c r="E33" i="1"/>
  <c r="D11" i="1"/>
  <c r="D48" i="101" l="1"/>
  <c r="C63" i="100" s="1"/>
  <c r="D61" i="101"/>
  <c r="D64" i="101"/>
  <c r="G62" i="35"/>
  <c r="G59" i="35"/>
  <c r="D62" i="101"/>
  <c r="G63" i="100"/>
  <c r="G58" i="35"/>
  <c r="F60" i="35"/>
  <c r="C12" i="35"/>
  <c r="D43" i="35" s="1"/>
  <c r="J64" i="1" s="1"/>
  <c r="C11" i="1"/>
  <c r="A11" i="1" s="1"/>
  <c r="D52" i="1" s="1"/>
  <c r="C61" i="35" s="1"/>
  <c r="E26" i="91"/>
  <c r="N19" i="1" s="1"/>
  <c r="E28" i="91"/>
  <c r="M10" i="101" l="1"/>
  <c r="M6" i="101"/>
  <c r="M9" i="101"/>
  <c r="M7" i="101"/>
  <c r="M8" i="101"/>
  <c r="M11" i="101" s="1"/>
  <c r="E62" i="101"/>
  <c r="F62" i="101" s="1"/>
  <c r="C76" i="100" s="1"/>
  <c r="D63" i="101"/>
  <c r="D65" i="101" s="1"/>
  <c r="F62" i="35"/>
  <c r="H62" i="35" s="1"/>
  <c r="S11" i="1"/>
  <c r="J32" i="91"/>
  <c r="N23" i="1"/>
  <c r="F58" i="35"/>
  <c r="H58" i="35" s="1"/>
  <c r="F59" i="35"/>
  <c r="H59" i="35" s="1"/>
  <c r="E11" i="1"/>
  <c r="I63" i="100"/>
  <c r="D15" i="91"/>
  <c r="D16" i="91"/>
  <c r="H60" i="35"/>
  <c r="D29" i="91"/>
  <c r="D28" i="91"/>
  <c r="D27" i="91"/>
  <c r="M20" i="1" s="1"/>
  <c r="E25" i="91"/>
  <c r="N18" i="1" s="1"/>
  <c r="E29" i="91"/>
  <c r="D26" i="91"/>
  <c r="M19" i="1" s="1"/>
  <c r="D17" i="91"/>
  <c r="D18" i="91"/>
  <c r="P16" i="101" l="1"/>
  <c r="N25" i="1"/>
  <c r="N24" i="1"/>
  <c r="N26" i="1"/>
  <c r="O17" i="101"/>
  <c r="M24" i="1"/>
  <c r="M26" i="1"/>
  <c r="I32" i="91"/>
  <c r="O16" i="101"/>
  <c r="M23" i="1"/>
  <c r="M25" i="1"/>
  <c r="A26" i="1"/>
  <c r="F55" i="100"/>
  <c r="F79" i="100" s="1"/>
  <c r="F86" i="100" s="1"/>
  <c r="C16" i="101" l="1"/>
  <c r="E16" i="101" s="1"/>
  <c r="D16" i="101" s="1"/>
  <c r="D25" i="1"/>
  <c r="P17" i="101"/>
  <c r="C17" i="101" s="1"/>
  <c r="D26" i="1"/>
  <c r="B10" i="1"/>
  <c r="F10" i="1"/>
  <c r="C11" i="35"/>
  <c r="D42" i="35" s="1"/>
  <c r="I64" i="1" s="1"/>
  <c r="C7" i="1"/>
  <c r="D9" i="1"/>
  <c r="D10" i="1"/>
  <c r="C31" i="101" l="1"/>
  <c r="C19" i="101"/>
  <c r="E19" i="101" s="1"/>
  <c r="D19" i="101" s="1"/>
  <c r="C18" i="101"/>
  <c r="C30" i="101" s="1"/>
  <c r="E17" i="101"/>
  <c r="G10" i="1"/>
  <c r="H54" i="1"/>
  <c r="C10" i="1"/>
  <c r="A10" i="1" s="1"/>
  <c r="F31" i="101" l="1"/>
  <c r="D17" i="101"/>
  <c r="E20" i="101"/>
  <c r="E10" i="1"/>
  <c r="D41" i="101" l="1"/>
  <c r="F30" i="101" l="1"/>
  <c r="D43" i="101"/>
  <c r="C27" i="101"/>
  <c r="F53" i="100"/>
  <c r="F77" i="100" s="1"/>
  <c r="F84" i="100" s="1"/>
  <c r="F52" i="100"/>
  <c r="F76" i="100" s="1"/>
  <c r="F83" i="100" s="1"/>
  <c r="F51" i="100"/>
  <c r="F75" i="100" s="1"/>
  <c r="F82" i="100" s="1"/>
  <c r="F33" i="101" l="1"/>
  <c r="F18" i="101"/>
  <c r="F20" i="101" l="1"/>
  <c r="D20" i="101" s="1"/>
  <c r="C55" i="100" s="1"/>
  <c r="F23" i="101"/>
  <c r="D18" i="101"/>
  <c r="F26" i="101"/>
  <c r="F24" i="101"/>
  <c r="F25" i="101"/>
  <c r="J35" i="77"/>
  <c r="F27" i="101" l="1"/>
  <c r="H20" i="101"/>
  <c r="I6" i="101"/>
  <c r="I28" i="101" l="1"/>
  <c r="J28" i="101"/>
  <c r="I27" i="101"/>
  <c r="F35" i="101"/>
  <c r="D33" i="100" l="1"/>
  <c r="D8" i="1" l="1"/>
  <c r="D7" i="1"/>
  <c r="C8" i="1"/>
  <c r="F7" i="1" l="1"/>
  <c r="C71" i="1" l="1"/>
  <c r="C9" i="35"/>
  <c r="D40" i="35" s="1"/>
  <c r="G64" i="1" s="1"/>
  <c r="C10" i="35"/>
  <c r="D41" i="35" s="1"/>
  <c r="H64" i="1" s="1"/>
  <c r="C8" i="35"/>
  <c r="D39" i="35" l="1"/>
  <c r="F64" i="1" s="1"/>
  <c r="C13" i="35"/>
  <c r="D44" i="35" s="1"/>
  <c r="D63" i="1" s="1"/>
  <c r="C68" i="35" s="1"/>
  <c r="F9" i="1"/>
  <c r="A9" i="1" s="1"/>
  <c r="E9" i="1" s="1"/>
  <c r="F8" i="1"/>
  <c r="B9" i="1"/>
  <c r="H53" i="1" s="1"/>
  <c r="B8" i="1"/>
  <c r="H52" i="1" s="1"/>
  <c r="B3" i="77"/>
  <c r="B50" i="77" s="1"/>
  <c r="D53" i="1" s="1"/>
  <c r="D64" i="1" l="1"/>
  <c r="C69" i="35" s="1"/>
  <c r="A64" i="1"/>
  <c r="A61" i="1" s="1"/>
  <c r="D46" i="35"/>
  <c r="B2" i="77"/>
  <c r="F12" i="1"/>
  <c r="D50" i="1" s="1"/>
  <c r="C59" i="35" s="1"/>
  <c r="A8" i="1"/>
  <c r="E8" i="1" s="1"/>
  <c r="G9" i="1"/>
  <c r="G8" i="1"/>
  <c r="B16" i="77" l="1"/>
  <c r="B21" i="77"/>
  <c r="F21" i="77" s="1"/>
  <c r="D18" i="77"/>
  <c r="D40" i="77" s="1"/>
  <c r="Q8" i="1"/>
  <c r="A23" i="1"/>
  <c r="G66" i="1"/>
  <c r="D67" i="1"/>
  <c r="D71" i="1" s="1"/>
  <c r="B8" i="77"/>
  <c r="B22" i="77"/>
  <c r="F22" i="77" s="1"/>
  <c r="B24" i="77"/>
  <c r="F24" i="77" s="1"/>
  <c r="B23" i="77"/>
  <c r="F23" i="77" s="1"/>
  <c r="B6" i="77"/>
  <c r="B18" i="77"/>
  <c r="B25" i="77"/>
  <c r="F25" i="77" s="1"/>
  <c r="B17" i="77"/>
  <c r="B26" i="77"/>
  <c r="F26" i="77" s="1"/>
  <c r="C43" i="1"/>
  <c r="D70" i="1" l="1"/>
  <c r="B39" i="77"/>
  <c r="C39" i="77" s="1"/>
  <c r="D23" i="1"/>
  <c r="B40" i="77" a="1"/>
  <c r="B40" i="77" s="1"/>
  <c r="C40" i="77" s="1"/>
  <c r="Q11" i="1"/>
  <c r="L11" i="1"/>
  <c r="C35" i="77"/>
  <c r="Q9" i="1"/>
  <c r="Q10" i="1"/>
  <c r="B7" i="1"/>
  <c r="H51" i="1" s="1"/>
  <c r="D72" i="1" l="1"/>
  <c r="G7" i="1"/>
  <c r="A7" i="1"/>
  <c r="E7" i="1" s="1"/>
  <c r="E72" i="1" l="1"/>
  <c r="C72" i="35" s="1"/>
  <c r="C73" i="35" s="1"/>
  <c r="D57" i="1"/>
  <c r="C63" i="35" s="1"/>
  <c r="D74" i="1"/>
  <c r="S12" i="1"/>
  <c r="A12" i="1"/>
  <c r="A18" i="1" s="1"/>
  <c r="Q7" i="1"/>
  <c r="Q12" i="1" s="1"/>
  <c r="D18" i="1" l="1"/>
  <c r="D73" i="1"/>
  <c r="A27" i="1"/>
  <c r="D27" i="1" s="1"/>
  <c r="A20" i="1"/>
  <c r="A19" i="1"/>
  <c r="D51" i="1"/>
  <c r="E12" i="1"/>
  <c r="A24" i="1" s="1"/>
  <c r="V11" i="1" l="1"/>
  <c r="V7" i="1"/>
  <c r="V10" i="1"/>
  <c r="V8" i="1"/>
  <c r="V9" i="1"/>
  <c r="R11" i="1"/>
  <c r="C60" i="35"/>
  <c r="D24" i="1"/>
  <c r="D32" i="1"/>
  <c r="D33" i="1"/>
  <c r="A28" i="1"/>
  <c r="D28" i="1" s="1"/>
  <c r="B32" i="77"/>
  <c r="F32" i="77" s="1"/>
  <c r="F41" i="77" s="1"/>
  <c r="R9" i="1"/>
  <c r="R8" i="1"/>
  <c r="R7" i="1"/>
  <c r="R10" i="1"/>
  <c r="A17" i="1" l="1"/>
  <c r="C51" i="35" s="1"/>
  <c r="L7" i="1"/>
  <c r="D49" i="1"/>
  <c r="C58" i="35" s="1"/>
  <c r="B41" i="77"/>
  <c r="D29" i="1"/>
  <c r="M10" i="1"/>
  <c r="A29" i="1"/>
  <c r="C52" i="35" s="1"/>
  <c r="L8" i="1"/>
  <c r="B35" i="77"/>
  <c r="C36" i="77" s="1"/>
  <c r="R12" i="1"/>
  <c r="P7" i="1" l="1"/>
  <c r="D54" i="1"/>
  <c r="M9" i="1"/>
  <c r="M11" i="1"/>
  <c r="M7" i="1"/>
  <c r="M8" i="1"/>
  <c r="B37" i="77"/>
  <c r="B36" i="77"/>
  <c r="L10" i="1"/>
  <c r="L9" i="1"/>
  <c r="C41" i="77"/>
  <c r="L12" i="1" l="1"/>
  <c r="P11" i="1"/>
  <c r="P8" i="1"/>
  <c r="P10" i="1"/>
  <c r="P9" i="1"/>
  <c r="P12" i="1" l="1"/>
  <c r="D19" i="91" l="1"/>
  <c r="M12" i="1" l="1"/>
  <c r="T11" i="1" l="1"/>
  <c r="T10" i="1" l="1"/>
  <c r="T7" i="1"/>
  <c r="T9" i="1"/>
  <c r="T8" i="1"/>
  <c r="T12" i="1" l="1"/>
  <c r="V12" i="1" l="1"/>
  <c r="G67" i="1" s="1"/>
  <c r="I10" i="101" l="1"/>
  <c r="I7" i="101"/>
  <c r="I8" i="101"/>
  <c r="I9" i="101"/>
  <c r="E23" i="101"/>
  <c r="E24" i="101"/>
  <c r="D24" i="101" s="1"/>
  <c r="E25" i="101"/>
  <c r="D25" i="101" s="1"/>
  <c r="E26" i="101"/>
  <c r="D26" i="101" s="1"/>
  <c r="E30" i="101"/>
  <c r="D30" i="101" s="1"/>
  <c r="E31" i="101"/>
  <c r="D31" i="101" s="1"/>
  <c r="D23" i="101" l="1"/>
  <c r="D27" i="101" s="1"/>
  <c r="E27" i="101"/>
  <c r="E33" i="101"/>
  <c r="D33" i="101" s="1"/>
  <c r="I11" i="101"/>
  <c r="C56" i="100" l="1"/>
  <c r="C57" i="100" s="1"/>
  <c r="K8" i="101"/>
  <c r="K6" i="101"/>
  <c r="E35" i="101"/>
  <c r="D35" i="101" s="1"/>
  <c r="K9" i="101"/>
  <c r="K7" i="101"/>
  <c r="K10" i="101"/>
  <c r="H27" i="101"/>
  <c r="J27" i="101"/>
  <c r="J6" i="101" l="1"/>
  <c r="K11" i="101"/>
  <c r="D44" i="101"/>
  <c r="C62" i="100" s="1"/>
  <c r="J10" i="101"/>
  <c r="J7" i="101"/>
  <c r="J8" i="101"/>
  <c r="J9" i="101"/>
  <c r="C64" i="100" l="1"/>
  <c r="C66" i="100" s="1"/>
  <c r="D45" i="101"/>
  <c r="J11" i="101"/>
  <c r="D46" i="101" l="1"/>
  <c r="L6" i="101" s="1"/>
  <c r="H6" i="101" s="1"/>
  <c r="D47" i="101"/>
  <c r="L9" i="101" l="1"/>
  <c r="H9" i="101" s="1"/>
  <c r="L10" i="101"/>
  <c r="H10" i="101" s="1"/>
  <c r="N10" i="101" s="1"/>
  <c r="O12" i="101" s="1"/>
  <c r="O13" i="101" s="1"/>
  <c r="L8" i="101"/>
  <c r="H8" i="101" s="1"/>
  <c r="L7" i="101"/>
  <c r="H7" i="101" s="1"/>
  <c r="F49" i="101"/>
  <c r="D28" i="101"/>
  <c r="D49" i="101"/>
  <c r="F12" i="101" s="1"/>
  <c r="F45" i="101"/>
  <c r="N8" i="101" l="1"/>
  <c r="G8" i="101" s="1"/>
  <c r="C8" i="101" s="1"/>
  <c r="G77" i="100" s="1"/>
  <c r="G84" i="100" s="1"/>
  <c r="N6" i="101"/>
  <c r="G6" i="101" s="1"/>
  <c r="C6" i="101" s="1"/>
  <c r="G75" i="100" s="1"/>
  <c r="G82" i="100" s="1"/>
  <c r="H11" i="101"/>
  <c r="G10" i="101"/>
  <c r="C10" i="101" s="1"/>
  <c r="N7" i="101"/>
  <c r="G7" i="101" s="1"/>
  <c r="C7" i="101" s="1"/>
  <c r="G76" i="100" s="1"/>
  <c r="G83" i="100" s="1"/>
  <c r="L11" i="101"/>
  <c r="D50" i="101"/>
  <c r="F10" i="101"/>
  <c r="F7" i="101"/>
  <c r="D66" i="101"/>
  <c r="F6" i="101"/>
  <c r="F8" i="101"/>
  <c r="F9" i="101"/>
  <c r="N9" i="101"/>
  <c r="G9" i="101" s="1"/>
  <c r="C9" i="101" s="1"/>
  <c r="G78" i="100" s="1"/>
  <c r="G85" i="100" s="1"/>
  <c r="G79" i="100" l="1"/>
  <c r="G86" i="100" s="1"/>
  <c r="E66" i="101"/>
  <c r="C80" i="100" s="1"/>
  <c r="C78" i="100"/>
  <c r="E9" i="101"/>
  <c r="E7" i="101"/>
  <c r="E6" i="101"/>
  <c r="E8" i="101"/>
  <c r="G55" i="100"/>
  <c r="E10" i="101"/>
  <c r="D10" i="101"/>
  <c r="N11" i="101"/>
  <c r="G53" i="100"/>
  <c r="G68" i="100" s="1"/>
  <c r="D8" i="101"/>
  <c r="G54" i="100"/>
  <c r="D9" i="101"/>
  <c r="D7" i="101"/>
  <c r="G52" i="100"/>
  <c r="G67" i="100" s="1"/>
  <c r="I79" i="100" l="1"/>
  <c r="I86" i="100" s="1"/>
  <c r="H79" i="100"/>
  <c r="H86" i="100" s="1"/>
  <c r="H55" i="100"/>
  <c r="H70" i="100" s="1"/>
  <c r="G70" i="100"/>
  <c r="H76" i="100"/>
  <c r="H83" i="100" s="1"/>
  <c r="I76" i="100"/>
  <c r="I83" i="100" s="1"/>
  <c r="I77" i="100"/>
  <c r="I84" i="100" s="1"/>
  <c r="H77" i="100"/>
  <c r="H84" i="100" s="1"/>
  <c r="I75" i="100"/>
  <c r="I82" i="100" s="1"/>
  <c r="H75" i="100"/>
  <c r="H82" i="100" s="1"/>
  <c r="I78" i="100"/>
  <c r="I85" i="100" s="1"/>
  <c r="H78" i="100"/>
  <c r="H85" i="100" s="1"/>
  <c r="I55" i="100"/>
  <c r="I70" i="100" s="1"/>
  <c r="H52" i="100"/>
  <c r="H67" i="100" s="1"/>
  <c r="I52" i="100"/>
  <c r="I67" i="100" s="1"/>
  <c r="H54" i="100"/>
  <c r="H69" i="100" s="1"/>
  <c r="G69" i="100"/>
  <c r="I54" i="100"/>
  <c r="I69" i="100" s="1"/>
  <c r="I53" i="100"/>
  <c r="I68" i="100" s="1"/>
  <c r="H53" i="100"/>
  <c r="H68" i="100" s="1"/>
  <c r="G51" i="100"/>
  <c r="G66" i="100" s="1"/>
  <c r="D6" i="101"/>
  <c r="D11" i="101" l="1"/>
  <c r="I51" i="100"/>
  <c r="I66" i="100" s="1"/>
  <c r="H51" i="100"/>
  <c r="H66" i="100" s="1"/>
  <c r="D12" i="101" l="1"/>
  <c r="F11" i="101"/>
  <c r="F13" i="101" s="1"/>
  <c r="E11" i="101" l="1"/>
  <c r="D45" i="1" l="1"/>
  <c r="E34" i="1"/>
  <c r="D34" i="1" l="1"/>
  <c r="D35" i="1" s="1"/>
  <c r="O8" i="1" l="1"/>
  <c r="O7" i="1"/>
  <c r="O11" i="1"/>
  <c r="O9" i="1"/>
  <c r="O10" i="1"/>
  <c r="O12" i="1" l="1"/>
  <c r="K20" i="1" l="1"/>
  <c r="D20" i="1" s="1"/>
  <c r="K19" i="1"/>
  <c r="D19" i="1" s="1"/>
  <c r="K18" i="1" l="1"/>
  <c r="D21" i="1" s="1"/>
  <c r="K8" i="1" l="1"/>
  <c r="D30" i="1"/>
  <c r="D37" i="1" s="1"/>
  <c r="C55" i="35" s="1"/>
  <c r="K11" i="1"/>
  <c r="K10" i="1"/>
  <c r="K9" i="1"/>
  <c r="K7" i="1"/>
  <c r="K12" i="1" l="1"/>
  <c r="D39" i="1"/>
  <c r="D42" i="1"/>
  <c r="D41" i="1"/>
  <c r="D40" i="1"/>
  <c r="D43" i="1" l="1"/>
  <c r="C56" i="35" s="1"/>
  <c r="N7" i="1" l="1"/>
  <c r="N10" i="1"/>
  <c r="N9" i="1"/>
  <c r="N11" i="1"/>
  <c r="N8" i="1"/>
  <c r="D46" i="1"/>
  <c r="C57" i="35" s="1"/>
  <c r="D56" i="1" l="1"/>
  <c r="D58" i="1" s="1"/>
  <c r="E46" i="1" s="1"/>
  <c r="E43" i="1"/>
  <c r="N12" i="1"/>
  <c r="C62" i="35" l="1"/>
  <c r="C64" i="35"/>
  <c r="C65" i="35" s="1"/>
  <c r="F43" i="1"/>
  <c r="G58" i="1"/>
  <c r="E54" i="1"/>
  <c r="D59" i="1"/>
  <c r="U8" i="1"/>
  <c r="W8" i="1" s="1"/>
  <c r="X8" i="1" s="1"/>
  <c r="U9" i="1"/>
  <c r="W9" i="1" s="1"/>
  <c r="X9" i="1" s="1"/>
  <c r="U10" i="1"/>
  <c r="W10" i="1" s="1"/>
  <c r="X10" i="1" s="1"/>
  <c r="U11" i="1"/>
  <c r="U7" i="1"/>
  <c r="W7" i="1" s="1"/>
  <c r="X7" i="1" s="1"/>
  <c r="D75" i="1" l="1"/>
  <c r="C75" i="35" s="1"/>
  <c r="U12" i="1"/>
  <c r="Z11" i="1"/>
  <c r="AA11" i="1" s="1"/>
  <c r="H11" i="1" s="1"/>
  <c r="W11" i="1"/>
  <c r="X11" i="1" s="1"/>
  <c r="E75" i="1" l="1"/>
  <c r="C76" i="35" s="1"/>
  <c r="Y11" i="1"/>
  <c r="Y9" i="1" s="1"/>
  <c r="Z9" i="1" s="1"/>
  <c r="W12" i="1"/>
  <c r="X12" i="1"/>
  <c r="I11" i="1"/>
  <c r="I55" i="1"/>
  <c r="F55" i="35"/>
  <c r="AA9" i="1" l="1"/>
  <c r="H9" i="1" s="1"/>
  <c r="F53" i="35" s="1"/>
  <c r="Y7" i="1"/>
  <c r="Z7" i="1" s="1"/>
  <c r="AA7" i="1" s="1"/>
  <c r="H7" i="1" s="1"/>
  <c r="Y8" i="1"/>
  <c r="Z8" i="1" s="1"/>
  <c r="AA8" i="1" s="1"/>
  <c r="H8" i="1" s="1"/>
  <c r="I8" i="1" s="1"/>
  <c r="Y10" i="1"/>
  <c r="Z10" i="1" s="1"/>
  <c r="AA10" i="1" s="1"/>
  <c r="H10" i="1" s="1"/>
  <c r="I54" i="1" s="1"/>
  <c r="G55" i="35"/>
  <c r="G69" i="35" s="1"/>
  <c r="H55" i="35"/>
  <c r="H69" i="35" s="1"/>
  <c r="F69" i="35"/>
  <c r="I9" i="1" l="1"/>
  <c r="H53" i="35"/>
  <c r="H67" i="35" s="1"/>
  <c r="I53" i="1"/>
  <c r="I52" i="1"/>
  <c r="F52" i="35"/>
  <c r="G52" i="35" s="1"/>
  <c r="G66" i="35" s="1"/>
  <c r="F54" i="35"/>
  <c r="H54" i="35" s="1"/>
  <c r="H68" i="35" s="1"/>
  <c r="I10" i="1"/>
  <c r="Z12" i="1"/>
  <c r="F51" i="35"/>
  <c r="F67" i="35" l="1"/>
  <c r="G53" i="35"/>
  <c r="G67" i="35" s="1"/>
  <c r="H52" i="35"/>
  <c r="H66" i="35" s="1"/>
  <c r="F66" i="35"/>
  <c r="G54" i="35"/>
  <c r="G68" i="35" s="1"/>
  <c r="F68" i="35"/>
  <c r="I7" i="1"/>
  <c r="I51" i="1"/>
  <c r="I56" i="1" s="1"/>
  <c r="I57" i="1" s="1"/>
  <c r="F65" i="35" l="1"/>
  <c r="G51" i="35"/>
  <c r="G65" i="35" s="1"/>
  <c r="H51" i="35"/>
  <c r="H65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Anne Mitchell</author>
  </authors>
  <commentList>
    <comment ref="B50" authorId="0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1" authorId="0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tc={CE2465EC-44C7-0048-BDA5-21F9082CC7CB}</author>
  </authors>
  <commentList>
    <comment ref="F74" authorId="0" shapeId="0" xr:uid="{CE2465EC-44C7-0048-BDA5-21F9082CC7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confirm if ECECD wants this included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tc={09268A5D-75AF-9245-B49C-8446D7A35E87}</author>
  </authors>
  <commentList>
    <comment ref="B52" authorId="0" shapeId="0" xr:uid="{09268A5D-75AF-9245-B49C-8446D7A35E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used if you pick licensing/star 2 as quality level… for 12.10 it didnt matter because there was still a spread between 12.10 and data colletion salaries. but it is a problem for the $15 and $18 model
Reply:
    my solution is to pay same at licensing/2 star and 2+/3 star. the alternative is to set the licensing as the min wage, and go up from there, but that will get our 5 star programs pretty high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F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  <comment ref="K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<sst xmlns="http://schemas.openxmlformats.org/spreadsheetml/2006/main" count="979" uniqueCount="526">
  <si>
    <t>Ratios</t>
  </si>
  <si>
    <t>Star 2+/3</t>
  </si>
  <si>
    <t>Licensing/Star 2</t>
  </si>
  <si>
    <t>Star 4</t>
  </si>
  <si>
    <t>Star 5</t>
  </si>
  <si>
    <t>Region</t>
  </si>
  <si>
    <t>Statewide</t>
  </si>
  <si>
    <t># Children/Age</t>
  </si>
  <si>
    <t>Age Groups</t>
  </si>
  <si>
    <t>Infants</t>
  </si>
  <si>
    <t>School age</t>
  </si>
  <si>
    <t>TOTAL Children</t>
  </si>
  <si>
    <t>GROSS RECEIPTS TAX</t>
  </si>
  <si>
    <t>GRT</t>
  </si>
  <si>
    <t>Required to pay</t>
  </si>
  <si>
    <t>Not Required</t>
  </si>
  <si>
    <t>Who pays GRT</t>
  </si>
  <si>
    <t>Private-pay families only</t>
  </si>
  <si>
    <t>All Families</t>
  </si>
  <si>
    <t>Center pays</t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</si>
  <si>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</si>
  <si>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</si>
  <si>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</si>
  <si>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</si>
  <si>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</si>
  <si>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`</t>
  </si>
  <si>
    <t>SALARIES</t>
  </si>
  <si>
    <t>Yes</t>
  </si>
  <si>
    <t>No</t>
  </si>
  <si>
    <t>WorkforceSurvey</t>
  </si>
  <si>
    <t>BLS</t>
  </si>
  <si>
    <t>ModelSalaryScale</t>
  </si>
  <si>
    <t>KinderParity</t>
  </si>
  <si>
    <t>Select salary level in D16</t>
  </si>
  <si>
    <t>BLS adj $12.10</t>
  </si>
  <si>
    <t>(enter hourly wage)</t>
  </si>
  <si>
    <t>BLS adj min wage</t>
  </si>
  <si>
    <t>Kindergarten Parity</t>
  </si>
  <si>
    <t>User added</t>
  </si>
  <si>
    <t>Lead Teacher</t>
  </si>
  <si>
    <t>Assistant Teacher</t>
  </si>
  <si>
    <t>Floater</t>
  </si>
  <si>
    <t>For user added salaries enter houlrly salary to right -------------&gt;</t>
  </si>
  <si>
    <t>BENEFITS</t>
  </si>
  <si>
    <t>Health Insurance</t>
  </si>
  <si>
    <t>Select whether program offers health insurance to employees</t>
  </si>
  <si>
    <t>Sick Days</t>
  </si>
  <si>
    <t>Paid Leave</t>
  </si>
  <si>
    <t>enter annual number of days per staff member, not including holidays where program is closed</t>
  </si>
  <si>
    <t>ADDITIONAL SANITATION</t>
  </si>
  <si>
    <t>Deep cleaning</t>
  </si>
  <si>
    <t># of cleanings per month</t>
  </si>
  <si>
    <t>Cost per cleaning</t>
  </si>
  <si>
    <t>Supplies</t>
  </si>
  <si>
    <t>Sanitation supplies</t>
  </si>
  <si>
    <t>Cost/classroom/month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</si>
  <si>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</si>
  <si>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</si>
  <si>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</si>
  <si>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NM PreK</t>
  </si>
  <si>
    <t>NM Early PreK</t>
  </si>
  <si>
    <t>Private Tuition</t>
  </si>
  <si>
    <t>Total =</t>
  </si>
  <si>
    <t>Percent subsidy =</t>
  </si>
  <si>
    <t>Annual Cost per Child</t>
  </si>
  <si>
    <t>Monthly CPC</t>
  </si>
  <si>
    <t>Weekly CPC</t>
  </si>
  <si>
    <t>Annual</t>
  </si>
  <si>
    <t xml:space="preserve">Monthly </t>
  </si>
  <si>
    <t>Weekly</t>
  </si>
  <si>
    <t>PRO-FORMA BUDGET:  New Mexico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</si>
  <si>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</si>
  <si>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</si>
  <si>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</si>
  <si>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</si>
  <si>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</si>
  <si>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</si>
  <si>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</si>
  <si>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</si>
  <si>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</si>
  <si>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Annual cost per child</t>
  </si>
  <si>
    <t>Monthly</t>
  </si>
  <si>
    <t>Admin Personnel</t>
  </si>
  <si>
    <t>Classroom Personnel</t>
  </si>
  <si>
    <t>Floaters</t>
  </si>
  <si>
    <t>Benefits</t>
  </si>
  <si>
    <t>Subs</t>
  </si>
  <si>
    <t>NP ed program</t>
  </si>
  <si>
    <t>NP occupancy</t>
  </si>
  <si>
    <t>NP admin</t>
  </si>
  <si>
    <t>Transportation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</si>
  <si>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</si>
  <si>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</si>
  <si>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</si>
  <si>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</si>
  <si>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</si>
  <si>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</si>
  <si>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</si>
  <si>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</si>
  <si>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</si>
  <si>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</si>
  <si>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</si>
  <si>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</si>
  <si>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</si>
  <si>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</si>
  <si>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</si>
  <si>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</si>
  <si>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</si>
  <si>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</si>
  <si>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</si>
  <si>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</si>
  <si>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</si>
  <si>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</si>
  <si>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</si>
  <si>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</si>
  <si>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</si>
  <si>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</si>
  <si>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</si>
  <si>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</si>
  <si>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</si>
  <si>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</si>
  <si>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</si>
  <si>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</si>
  <si>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</si>
  <si>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</si>
  <si>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</si>
  <si>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</si>
  <si>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</si>
  <si>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</si>
  <si>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</si>
  <si>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</si>
  <si>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Additional benefits (pool/menu of options):</t>
  </si>
  <si>
    <t>Subtotal Personnel</t>
  </si>
  <si>
    <t>of expenses</t>
  </si>
  <si>
    <t xml:space="preserve">EXPENSES: Nonpersonnel </t>
  </si>
  <si>
    <t>Education Program for Children and Staff</t>
  </si>
  <si>
    <t>(uses data collection)</t>
  </si>
  <si>
    <t>Occupancy</t>
  </si>
  <si>
    <t>CPC check</t>
  </si>
  <si>
    <t>Program Management &amp; Administration</t>
  </si>
  <si>
    <t>School age transportation</t>
  </si>
  <si>
    <t>Additional Cleaning</t>
  </si>
  <si>
    <t>Subtotal Nonpersonnel</t>
  </si>
  <si>
    <t>Contribution to operating reserve fund</t>
  </si>
  <si>
    <t>% of collected revenue</t>
  </si>
  <si>
    <t>Total Expense</t>
  </si>
  <si>
    <t>(not including GRT)</t>
  </si>
  <si>
    <t>with GRT</t>
  </si>
  <si>
    <t># Children</t>
  </si>
  <si>
    <t>Tuition Region</t>
  </si>
  <si>
    <t>Metro</t>
  </si>
  <si>
    <t>Rural</t>
  </si>
  <si>
    <t>CACFP (all ages)</t>
  </si>
  <si>
    <t>infant</t>
  </si>
  <si>
    <t>toddler</t>
  </si>
  <si>
    <t>3 year old</t>
  </si>
  <si>
    <t>4 year old</t>
  </si>
  <si>
    <t xml:space="preserve">Private Tuition </t>
  </si>
  <si>
    <t>Other income (grants, fundraising, etc.)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</si>
  <si>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</si>
  <si>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</si>
  <si>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</si>
  <si>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</si>
  <si>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</si>
  <si>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GRT recoupment from families</t>
  </si>
  <si>
    <t>TOTAL ACTUAL REVENUE</t>
  </si>
  <si>
    <t>Annual Revenue less Expenses profit/(loss)</t>
  </si>
  <si>
    <t>FAMILY CHILD CARE HOMES</t>
  </si>
  <si>
    <t>Items in YELLOW shaded cells are for INPUT to model different center 'profiles'.   PLEASE DO NOT CHANGE ANY OTHER CELLS ON THIS SHEET</t>
  </si>
  <si>
    <t>ENROLLMENT</t>
  </si>
  <si>
    <t>Two year olds</t>
  </si>
  <si>
    <t>Three year olds</t>
  </si>
  <si>
    <t>Four year olds</t>
  </si>
  <si>
    <t>School Aged</t>
  </si>
  <si>
    <t>Home pays</t>
  </si>
  <si>
    <t>Salaries</t>
  </si>
  <si>
    <t>Provider/Owner</t>
  </si>
  <si>
    <t xml:space="preserve">Assistant </t>
  </si>
  <si>
    <t>enter annual number of days per staff member (incl provider), not including holidays where program is closed</t>
  </si>
  <si>
    <t>Additional Sanitation expenses</t>
  </si>
  <si>
    <t>Cost per clearning</t>
  </si>
  <si>
    <t>Cost per provider per month</t>
  </si>
  <si>
    <t>Annual CPC</t>
  </si>
  <si>
    <t>weekly</t>
  </si>
  <si>
    <t>GAP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</si>
  <si>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</si>
  <si>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</si>
  <si>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</si>
  <si>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</si>
  <si>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</si>
  <si>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</si>
  <si>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</si>
  <si>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</si>
  <si>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</si>
  <si>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</si>
  <si>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Age 3</t>
  </si>
  <si>
    <t>Age 4</t>
  </si>
  <si>
    <t>Total Children</t>
  </si>
  <si>
    <t>EXPENSES</t>
  </si>
  <si>
    <t>Salaries and Wages</t>
  </si>
  <si>
    <t>Program wide</t>
  </si>
  <si>
    <t>Infant Asst</t>
  </si>
  <si>
    <t>Provider/Teacher</t>
  </si>
  <si>
    <t>Asst Teacher - Group Home</t>
  </si>
  <si>
    <t>Assistant Teacher - Infants</t>
  </si>
  <si>
    <t>Floater/Sub (Quality activities)</t>
  </si>
  <si>
    <t>Subtotal Salary and Wages</t>
  </si>
  <si>
    <t>Mandatory benefits for salaried staff</t>
  </si>
  <si>
    <t>Program-wide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</si>
  <si>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</si>
  <si>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</si>
  <si>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</si>
  <si>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</si>
  <si>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</si>
  <si>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</si>
  <si>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</si>
  <si>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</si>
  <si>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</si>
  <si>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</si>
  <si>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Subtotal Other Expenses</t>
  </si>
  <si>
    <t>Total other expenses</t>
  </si>
  <si>
    <t>TOTAL Expenses without GRT</t>
  </si>
  <si>
    <t>Total Expenses with GRT</t>
  </si>
  <si>
    <t>per child</t>
  </si>
  <si>
    <t xml:space="preserve"> = Actual Total Collected Revenue</t>
  </si>
  <si>
    <t>CENTERS</t>
  </si>
  <si>
    <t>4 Star</t>
  </si>
  <si>
    <t>5 Star</t>
  </si>
  <si>
    <t>infant/toddler</t>
  </si>
  <si>
    <t>Two years</t>
  </si>
  <si>
    <t>Group Size</t>
  </si>
  <si>
    <t>Infant/toddler</t>
  </si>
  <si>
    <t>FCC</t>
  </si>
  <si>
    <t>Family Child Care Home</t>
  </si>
  <si>
    <t>Group Family Child Care home</t>
  </si>
  <si>
    <t>Registered home</t>
  </si>
  <si>
    <t>Max</t>
  </si>
  <si>
    <t>6 with own kids, 4 without</t>
  </si>
  <si>
    <t xml:space="preserve">https://www.bls.gov/oes/2020/may/oes_nm.htm </t>
  </si>
  <si>
    <t>User FCC</t>
  </si>
  <si>
    <t>Data collection</t>
  </si>
  <si>
    <t>Director</t>
  </si>
  <si>
    <t>Assistant Director</t>
  </si>
  <si>
    <t>Administrative Assistant</t>
  </si>
  <si>
    <t>Floater/Assistants</t>
  </si>
  <si>
    <t>Current min wage ($10.50)</t>
  </si>
  <si>
    <t>Licensing/2 Star</t>
  </si>
  <si>
    <t>2+/3 Star</t>
  </si>
  <si>
    <t>data collection</t>
  </si>
  <si>
    <t>Min wage ($12.10)</t>
  </si>
  <si>
    <t>2/2+/3 Star</t>
  </si>
  <si>
    <t>Accred</t>
  </si>
  <si>
    <t>2 Star</t>
  </si>
  <si>
    <t>2+Star</t>
  </si>
  <si>
    <t>3 Star</t>
  </si>
  <si>
    <t>no star</t>
  </si>
  <si>
    <t>NO FOCUS</t>
  </si>
  <si>
    <t>FOCUS</t>
  </si>
  <si>
    <t>Accreditation</t>
  </si>
  <si>
    <t>No acc</t>
  </si>
  <si>
    <t>Lead Teacher Infant</t>
  </si>
  <si>
    <t>Lead Teacher Toddler</t>
  </si>
  <si>
    <t>Lead Teacher Preschool</t>
  </si>
  <si>
    <t>Lead Teacher School age</t>
  </si>
  <si>
    <t>Assistant Teacher - Infant</t>
  </si>
  <si>
    <t>Assistant Teacher - Toddler</t>
  </si>
  <si>
    <t>Assistant Teacher - Preschool</t>
  </si>
  <si>
    <t>Assistant Teacher - School age</t>
  </si>
  <si>
    <t>2/2+/3 Star to 5 Star</t>
  </si>
  <si>
    <t>acc programs pay 14% more</t>
  </si>
  <si>
    <t>BLS 2020</t>
  </si>
  <si>
    <t>Program director</t>
  </si>
  <si>
    <t>Ed Coord</t>
  </si>
  <si>
    <t>Admin Asst</t>
  </si>
  <si>
    <t>Asst Teacher</t>
  </si>
  <si>
    <t>PCQC - Center</t>
  </si>
  <si>
    <t>Fixed cost</t>
  </si>
  <si>
    <t>Category</t>
  </si>
  <si>
    <t>PCQC - FCC</t>
  </si>
  <si>
    <t>Survey - data collection</t>
  </si>
  <si>
    <t>Interview - data collection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</si>
  <si>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</si>
  <si>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</si>
  <si>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</si>
  <si>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</si>
  <si>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</si>
  <si>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</si>
  <si>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</si>
  <si>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</si>
  <si>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</si>
  <si>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</si>
  <si>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</si>
  <si>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</si>
  <si>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</si>
  <si>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</si>
  <si>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</si>
  <si>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</si>
  <si>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</si>
  <si>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</si>
  <si>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</si>
  <si>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</si>
  <si>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</si>
  <si>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</si>
  <si>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</si>
  <si>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</si>
  <si>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</si>
  <si>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</si>
  <si>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</si>
  <si>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</si>
  <si>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</si>
  <si>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</si>
  <si>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</si>
  <si>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</si>
  <si>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</si>
  <si>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</si>
  <si>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</si>
  <si>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</si>
  <si>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</si>
  <si>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</si>
  <si>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</si>
  <si>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</si>
  <si>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</si>
  <si>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</si>
  <si>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</si>
  <si>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Total Nonpersonnel</t>
  </si>
  <si>
    <t>Per classroom</t>
  </si>
  <si>
    <t>Administration</t>
  </si>
  <si>
    <t>Administration (by child)</t>
  </si>
  <si>
    <t>Occupancy (by classroom)</t>
  </si>
  <si>
    <t>Education Program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</si>
  <si>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</si>
  <si>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</si>
  <si>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</si>
  <si>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</si>
  <si>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</si>
  <si>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Amount</t>
  </si>
  <si>
    <t>School age kids</t>
  </si>
  <si>
    <t>annual per child</t>
  </si>
  <si>
    <t>Vehicle</t>
  </si>
  <si>
    <t>Star 3 rate</t>
  </si>
  <si>
    <t>Subsidy</t>
  </si>
  <si>
    <t>Star 2</t>
  </si>
  <si>
    <t>Infant</t>
  </si>
  <si>
    <t>Toddler/2 year old</t>
  </si>
  <si>
    <t>Group Homes</t>
  </si>
  <si>
    <t>2018 MRS inflation adjusted</t>
  </si>
  <si>
    <t>Licensed/Star 2</t>
  </si>
  <si>
    <t>http://www.newmexicokids.org/wp-content/uploads/2018-MRS-Report_June18.pdf</t>
  </si>
  <si>
    <t>Toddler</t>
  </si>
  <si>
    <t>Centers</t>
  </si>
  <si>
    <t>Group Home</t>
  </si>
  <si>
    <t>Licensed Home</t>
  </si>
  <si>
    <t>STAR 2+</t>
  </si>
  <si>
    <t>{NOT USED IN MODEL}</t>
  </si>
  <si>
    <t>STAR 3</t>
  </si>
  <si>
    <t>STAR 4</t>
  </si>
  <si>
    <t>STAR 5</t>
  </si>
  <si>
    <t>RURAL</t>
  </si>
  <si>
    <t>75th percentile, Metro</t>
  </si>
  <si>
    <t>2 star</t>
  </si>
  <si>
    <t>2 Star+</t>
  </si>
  <si>
    <t>Group Hones</t>
  </si>
  <si>
    <t>N/A</t>
  </si>
  <si>
    <t xml:space="preserve">3 y o </t>
  </si>
  <si>
    <t>4 y o</t>
  </si>
  <si>
    <t>school ag</t>
  </si>
  <si>
    <t>Licensed FCC</t>
  </si>
  <si>
    <t>75th percentile, Rural</t>
  </si>
  <si>
    <t>CHILD AND ADULT CARE FOOD PROGRAM (CACFP)</t>
  </si>
  <si>
    <t>Per Meal Rates in Whole or Fractions of U.S. Dollars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</si>
  <si>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</si>
  <si>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</si>
  <si>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</si>
  <si>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</si>
  <si>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</si>
  <si>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</si>
  <si>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</si>
  <si>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</si>
  <si>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</si>
  <si>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</si>
  <si>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</si>
  <si>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</si>
  <si>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</si>
  <si>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</si>
  <si>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</si>
  <si>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</si>
  <si>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</si>
  <si>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</si>
  <si>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</si>
  <si>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per child/permonth</t>
  </si>
  <si>
    <t>75% SMI eligibility</t>
  </si>
  <si>
    <t>STATEWIDE</t>
  </si>
  <si>
    <t>New mexico PreK</t>
  </si>
  <si>
    <t>about 213% FPL</t>
  </si>
  <si>
    <t xml:space="preserve">HS </t>
  </si>
  <si>
    <t>Public school</t>
  </si>
  <si>
    <t>mixed age</t>
  </si>
  <si>
    <t>extended day</t>
  </si>
  <si>
    <t>basic</t>
  </si>
  <si>
    <t>Annual calculations</t>
  </si>
  <si>
    <t>https://www.newmexicoprek.org/wp-content/uploads/2020/04/PreK-Program-Rate-Schedule.REVISED.4.2020.pdf</t>
  </si>
  <si>
    <t>10 month calculations</t>
  </si>
  <si>
    <t>Min wage ($15)</t>
  </si>
  <si>
    <t>To lead</t>
  </si>
  <si>
    <t>to asst</t>
  </si>
  <si>
    <t>to director</t>
  </si>
  <si>
    <t xml:space="preserve">Confirm: do we use this column b, data collection in any place, need to raise the lead teacher. </t>
  </si>
  <si>
    <t>Min wage ($18)</t>
  </si>
  <si>
    <t>$15 min wage</t>
  </si>
  <si>
    <t>$18 min wage</t>
  </si>
  <si>
    <t>FY19 Data collection</t>
  </si>
  <si>
    <t>https://www.govinfo.gov/content/pkg/FR-2021-07-07/pdf/2021-14435.pdf</t>
  </si>
  <si>
    <t>Effective from July 1, 2021 - June 30, 2022</t>
  </si>
  <si>
    <t>FY19 Survey Data collection</t>
  </si>
  <si>
    <t>FY19 Interview data collection</t>
  </si>
  <si>
    <t>base rate</t>
  </si>
  <si>
    <t>https://www.nmececd.org/wp-content/uploads/2021/09/8.15.2-NMAC.pdf</t>
  </si>
  <si>
    <t>Updated rates</t>
  </si>
  <si>
    <t>2022 update</t>
  </si>
  <si>
    <t>CACFP rates update to 2021-2022 rates</t>
  </si>
  <si>
    <t xml:space="preserve">Subsidy rates updated </t>
  </si>
  <si>
    <t>Market rate inflation adjustment</t>
  </si>
  <si>
    <t>KFF health insurance number updated to most recent</t>
  </si>
  <si>
    <t>Inflation Feb 2018 to Mar 2022</t>
  </si>
  <si>
    <t>https://www.bls.gov/data/inflation_calculator.htm</t>
  </si>
  <si>
    <t>inflation adjustment</t>
  </si>
  <si>
    <t>Nonpersonnel costs adjusted for inflation</t>
  </si>
  <si>
    <t>Min wage ($20)</t>
  </si>
  <si>
    <t>2021 average employer contribution to employer-based health insurance:   https://www.kff.org/other/state-indicator/single-coverage/?currentTimeframe=0&amp;sortModel=%7B%22colId%22:%22Location%22,%22sort%22:%22asc%22%7D</t>
  </si>
  <si>
    <t>School age Transportation</t>
  </si>
  <si>
    <t>COLA</t>
  </si>
  <si>
    <t>$20 min wage</t>
  </si>
  <si>
    <t>Toddlers - School Age</t>
  </si>
  <si>
    <t>CPC w/age differential</t>
  </si>
  <si>
    <t>Developed for New Mexico ECECD by Prenatal to Five Fiscal Strategies.</t>
  </si>
  <si>
    <t>Monthly Cost per Child</t>
  </si>
  <si>
    <t>Weekly Cost per Child</t>
  </si>
  <si>
    <t>RESULTS - Program Level</t>
  </si>
  <si>
    <t>Total Staff</t>
  </si>
  <si>
    <t>Wages</t>
  </si>
  <si>
    <t>Total Staff (FTE)</t>
  </si>
  <si>
    <t>Teaching Staff (FTE)</t>
  </si>
  <si>
    <t>Operating Reserve</t>
  </si>
  <si>
    <t>TOTAL EXPENSE</t>
  </si>
  <si>
    <t>INCOME</t>
  </si>
  <si>
    <t>CACFP</t>
  </si>
  <si>
    <t>Tuition</t>
  </si>
  <si>
    <t>Percent of expenses</t>
  </si>
  <si>
    <t>TOTAL INCOME</t>
  </si>
  <si>
    <t>RESULTS</t>
  </si>
  <si>
    <t>Annual, per Child</t>
  </si>
  <si>
    <t>Monthly, per Child</t>
  </si>
  <si>
    <t>Weekly, per Child</t>
  </si>
  <si>
    <t>Total Personnel</t>
  </si>
  <si>
    <t>Admin/Office</t>
  </si>
  <si>
    <t>Program related expenses</t>
  </si>
  <si>
    <t>Other income</t>
  </si>
  <si>
    <t>Adjustment for bad debt and enrolment efficiency</t>
  </si>
  <si>
    <t>New Mexico Child Care Cost Estimation Model (FY24)</t>
  </si>
  <si>
    <t>Salary level floor</t>
  </si>
  <si>
    <t>Focus Level</t>
  </si>
  <si>
    <t>Subsidy rates FY21</t>
  </si>
  <si>
    <t>Total across subsidy =</t>
  </si>
  <si>
    <t>Modelo de estimación de costos de cuidado infantil de Nuevo México año fiscal 2024</t>
  </si>
  <si>
    <t>Nivel de FOCUS</t>
  </si>
  <si>
    <t>Licencia/Estrella 2</t>
  </si>
  <si>
    <t>Estrella 2+/3</t>
  </si>
  <si>
    <t>Estrella 4</t>
  </si>
  <si>
    <t>Estrella 5</t>
  </si>
  <si>
    <t>CENTRO DE CUIDADO INFANTIL</t>
  </si>
  <si>
    <t xml:space="preserve">Los elementos en las celdas sombreadas en AMARILLO son para ENTRADA para modelar diferentes 'perfiles' de centros. </t>
  </si>
  <si>
    <t>TAMAÑO del CENTRO</t>
  </si>
  <si>
    <t># Niños/Edad</t>
  </si>
  <si>
    <t>Grupos de edad</t>
  </si>
  <si>
    <t>Proporciones</t>
  </si>
  <si>
    <t>Tamaño del grupo</t>
  </si>
  <si>
    <t># de aulas</t>
  </si>
  <si>
    <t>Infantes</t>
  </si>
  <si>
    <t>niños de dos años</t>
  </si>
  <si>
    <t>niños de tres años</t>
  </si>
  <si>
    <t>niños de cuatro años</t>
  </si>
  <si>
    <t>edad escolar</t>
  </si>
  <si>
    <t>Aulas TOTAL</t>
  </si>
  <si>
    <t>EFICIENCIA</t>
  </si>
  <si>
    <r>
      <rPr>
        <b/>
        <i/>
        <sz val="10"/>
        <color rgb="FF000000"/>
        <rFont val="Arial"/>
        <family val="2"/>
      </rPr>
      <t xml:space="preserve">Matrícula </t>
    </r>
    <r>
      <rPr>
        <i/>
        <sz val="10"/>
        <color rgb="FF000000"/>
        <rFont val="Arial"/>
        <family val="2"/>
      </rPr>
      <t>como % de la capacidad total con personal</t>
    </r>
  </si>
  <si>
    <t>Deuda incobrable como % de los ingresos no recaudados</t>
  </si>
  <si>
    <t>85-95% es tipico</t>
  </si>
  <si>
    <t>Acerca de 3% es tipico</t>
  </si>
  <si>
    <t>Nivel de salario mínimo</t>
  </si>
  <si>
    <t>Salario mínimo de $15</t>
  </si>
  <si>
    <t>GANANCIA</t>
  </si>
  <si>
    <t>Ingrese el número de niños por edad que reciben cada tipo de subsidio usando solo las celdas AMARILLAS en la tabla a continuación. Pago privado no debe ser negativa</t>
  </si>
  <si>
    <t>Subsidio estatal para cuidado infantil</t>
  </si>
  <si>
    <t>Pago privado</t>
  </si>
  <si>
    <t>Total de todos los subsidios =</t>
  </si>
  <si>
    <t>Porcentaje de subsidio =</t>
  </si>
  <si>
    <t>RESULTADOS - Nivel de programa</t>
  </si>
  <si>
    <t xml:space="preserve">GASTOS </t>
  </si>
  <si>
    <t>Salarios</t>
  </si>
  <si>
    <t>Beneficios</t>
  </si>
  <si>
    <t>Personal Total</t>
  </si>
  <si>
    <t>Gastos del programa educativo</t>
  </si>
  <si>
    <t>Ocupación</t>
  </si>
  <si>
    <t>Gestión y administración del programa</t>
  </si>
  <si>
    <t>Transporte en edad escolar</t>
  </si>
  <si>
    <t>Reserva Operativa</t>
  </si>
  <si>
    <t>Recibos de impuestos brutos</t>
  </si>
  <si>
    <t>Total no personal</t>
  </si>
  <si>
    <t>GASTOS TOTAL</t>
  </si>
  <si>
    <t>INGRESOS</t>
  </si>
  <si>
    <t>Subsidio</t>
  </si>
  <si>
    <t>Otro ingresos</t>
  </si>
  <si>
    <t>Ajuste por deuda incobrable y eficiencia de inscripción</t>
  </si>
  <si>
    <t>INGRESOS TOTAL</t>
  </si>
  <si>
    <t>Ingresos anuales menos gastos, ganancias/(pérdidas)</t>
  </si>
  <si>
    <t>Porcentaje de gastos</t>
  </si>
  <si>
    <t>Desarrollado para New Mexico ECECD por Prenatal to Five Fiscal Strategies.</t>
  </si>
  <si>
    <t>RESULTADOS</t>
  </si>
  <si>
    <t>Costo anual por niño</t>
  </si>
  <si>
    <t>Costo mensual por niño</t>
  </si>
  <si>
    <t>Costo semanal por niño</t>
  </si>
  <si>
    <t>Tasas de subsidio del año fiscal 21</t>
  </si>
  <si>
    <t>Anual, por niño</t>
  </si>
  <si>
    <t>Mensual, por niño</t>
  </si>
  <si>
    <t>Semanal, por niño</t>
  </si>
  <si>
    <t>Costo/Brecha de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</si>
</sst>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\$0"/>
    <numFmt numFmtId="173" formatCode="0.0%"/>
    <numFmt numFmtId="174" formatCode="_(* #,##0_);_(* \(#,##0\);_(* &quot;-&quot;?_);_(@_)"/>
    <numFmt numFmtId="175" formatCode="_(* #,##0.0_);_(* \(#,##0.0\);_(* &quot;-&quot;?_);_(@_)"/>
    <numFmt numFmtId="176" formatCode="_(* #,##0.000_);_(* \(#,##0.000\);_(* &quot;-&quot;??_);_(@_)"/>
    <numFmt numFmtId="177" formatCode="0.0000"/>
    <numFmt numFmtId="178" formatCode="&quot;$&quot;#,##0.0000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44444"/>
      <name val="Helvetica Neue"/>
      <family val="2"/>
    </font>
    <font>
      <sz val="13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sz val="10"/>
      <color rgb="FF000000"/>
      <name val="Calibri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693">
    <xf numFmtId="0" fontId="0" fillId="0" borderId="0" xfId="0"/>
    <xf numFmtId="9" fontId="0" fillId="0" borderId="0" xfId="0" applyNumberFormat="1"/>
    <xf numFmtId="0" fontId="9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31" fillId="0" borderId="0" xfId="0" applyFont="1"/>
    <xf numFmtId="6" fontId="30" fillId="0" borderId="0" xfId="0" applyNumberFormat="1" applyFont="1"/>
    <xf numFmtId="0" fontId="3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3" fillId="0" borderId="0" xfId="0" applyNumberFormat="1" applyFont="1"/>
    <xf numFmtId="6" fontId="7" fillId="0" borderId="0" xfId="0" applyNumberFormat="1" applyFont="1"/>
    <xf numFmtId="6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0" fontId="33" fillId="0" borderId="0" xfId="0" applyFont="1" applyAlignment="1">
      <alignment horizontal="right"/>
    </xf>
    <xf numFmtId="8" fontId="0" fillId="0" borderId="0" xfId="0" applyNumberFormat="1"/>
    <xf numFmtId="0" fontId="9" fillId="0" borderId="0" xfId="0" applyFont="1" applyAlignment="1">
      <alignment horizontal="right"/>
    </xf>
    <xf numFmtId="0" fontId="21" fillId="0" borderId="0" xfId="35" applyAlignment="1" applyProtection="1"/>
    <xf numFmtId="0" fontId="9" fillId="25" borderId="0" xfId="0" applyFont="1" applyFill="1"/>
    <xf numFmtId="0" fontId="0" fillId="25" borderId="0" xfId="0" applyFill="1"/>
    <xf numFmtId="165" fontId="0" fillId="0" borderId="0" xfId="0" applyNumberFormat="1"/>
    <xf numFmtId="0" fontId="0" fillId="26" borderId="0" xfId="0" applyFill="1"/>
    <xf numFmtId="0" fontId="0" fillId="28" borderId="0" xfId="0" applyFill="1"/>
    <xf numFmtId="9" fontId="0" fillId="0" borderId="0" xfId="44" applyFont="1"/>
    <xf numFmtId="0" fontId="7" fillId="0" borderId="0" xfId="0" applyFont="1"/>
    <xf numFmtId="0" fontId="7" fillId="0" borderId="0" xfId="0" quotePrefix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8" fontId="7" fillId="0" borderId="0" xfId="0" applyNumberFormat="1" applyFont="1"/>
    <xf numFmtId="0" fontId="7" fillId="0" borderId="0" xfId="0" applyFont="1" applyAlignment="1">
      <alignment horizontal="left"/>
    </xf>
    <xf numFmtId="166" fontId="9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7" fillId="0" borderId="15" xfId="0" applyFont="1" applyBorder="1"/>
    <xf numFmtId="0" fontId="0" fillId="0" borderId="12" xfId="0" applyBorder="1"/>
    <xf numFmtId="0" fontId="0" fillId="0" borderId="10" xfId="0" applyBorder="1"/>
    <xf numFmtId="6" fontId="30" fillId="0" borderId="15" xfId="0" applyNumberFormat="1" applyFont="1" applyBorder="1"/>
    <xf numFmtId="6" fontId="9" fillId="0" borderId="15" xfId="0" applyNumberFormat="1" applyFont="1" applyBorder="1"/>
    <xf numFmtId="6" fontId="0" fillId="0" borderId="15" xfId="0" applyNumberFormat="1" applyBorder="1"/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8" fillId="0" borderId="11" xfId="0" applyFont="1" applyBorder="1"/>
    <xf numFmtId="0" fontId="10" fillId="0" borderId="11" xfId="0" applyFont="1" applyBorder="1"/>
    <xf numFmtId="0" fontId="32" fillId="0" borderId="0" xfId="0" applyFont="1" applyAlignment="1">
      <alignment wrapText="1"/>
    </xf>
    <xf numFmtId="0" fontId="10" fillId="0" borderId="16" xfId="0" applyFont="1" applyBorder="1"/>
    <xf numFmtId="0" fontId="9" fillId="0" borderId="12" xfId="0" applyFont="1" applyBorder="1"/>
    <xf numFmtId="165" fontId="9" fillId="0" borderId="12" xfId="0" applyNumberFormat="1" applyFont="1" applyBorder="1"/>
    <xf numFmtId="0" fontId="7" fillId="28" borderId="25" xfId="0" applyFont="1" applyFill="1" applyBorder="1" applyAlignment="1">
      <alignment horizontal="right"/>
    </xf>
    <xf numFmtId="165" fontId="7" fillId="28" borderId="26" xfId="0" applyNumberFormat="1" applyFont="1" applyFill="1" applyBorder="1"/>
    <xf numFmtId="0" fontId="7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7" fillId="28" borderId="28" xfId="0" applyNumberFormat="1" applyFont="1" applyFill="1" applyBorder="1"/>
    <xf numFmtId="0" fontId="7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33" fillId="0" borderId="0" xfId="0" applyFont="1"/>
    <xf numFmtId="166" fontId="7" fillId="0" borderId="0" xfId="0" applyNumberFormat="1" applyFont="1" applyAlignment="1">
      <alignment horizontal="right"/>
    </xf>
    <xf numFmtId="2" fontId="43" fillId="0" borderId="0" xfId="0" applyNumberFormat="1" applyFont="1"/>
    <xf numFmtId="9" fontId="7" fillId="0" borderId="0" xfId="44" applyFont="1" applyFill="1"/>
    <xf numFmtId="166" fontId="0" fillId="0" borderId="0" xfId="0" applyNumberFormat="1" applyAlignment="1">
      <alignment horizontal="right"/>
    </xf>
    <xf numFmtId="165" fontId="9" fillId="0" borderId="0" xfId="0" applyNumberFormat="1" applyFont="1"/>
    <xf numFmtId="0" fontId="8" fillId="0" borderId="0" xfId="0" applyFont="1"/>
    <xf numFmtId="10" fontId="7" fillId="0" borderId="0" xfId="0" applyNumberFormat="1" applyFont="1"/>
    <xf numFmtId="10" fontId="0" fillId="0" borderId="0" xfId="0" applyNumberFormat="1"/>
    <xf numFmtId="9" fontId="8" fillId="0" borderId="0" xfId="0" applyNumberFormat="1" applyFont="1"/>
    <xf numFmtId="6" fontId="10" fillId="0" borderId="0" xfId="0" applyNumberFormat="1" applyFont="1"/>
    <xf numFmtId="166" fontId="10" fillId="0" borderId="0" xfId="0" applyNumberFormat="1" applyFont="1"/>
    <xf numFmtId="0" fontId="44" fillId="0" borderId="0" xfId="0" applyFont="1"/>
    <xf numFmtId="8" fontId="36" fillId="0" borderId="0" xfId="0" applyNumberFormat="1" applyFont="1"/>
    <xf numFmtId="9" fontId="7" fillId="0" borderId="0" xfId="0" applyNumberFormat="1" applyFont="1"/>
    <xf numFmtId="0" fontId="7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7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7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0" fillId="0" borderId="10" xfId="0" applyNumberFormat="1" applyFont="1" applyBorder="1"/>
    <xf numFmtId="165" fontId="7" fillId="0" borderId="12" xfId="0" applyNumberFormat="1" applyFont="1" applyBorder="1"/>
    <xf numFmtId="0" fontId="10" fillId="0" borderId="14" xfId="0" applyFont="1" applyBorder="1"/>
    <xf numFmtId="0" fontId="7" fillId="0" borderId="10" xfId="0" applyFont="1" applyBorder="1"/>
    <xf numFmtId="0" fontId="9" fillId="0" borderId="0" xfId="0" applyFont="1" applyAlignment="1">
      <alignment wrapText="1"/>
    </xf>
    <xf numFmtId="0" fontId="0" fillId="27" borderId="11" xfId="0" applyFill="1" applyBorder="1" applyAlignment="1">
      <alignment horizontal="center" vertical="center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35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41" fillId="27" borderId="0" xfId="0" applyNumberFormat="1" applyFont="1" applyFill="1"/>
    <xf numFmtId="0" fontId="41" fillId="0" borderId="33" xfId="0" applyFont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44" fontId="51" fillId="0" borderId="0" xfId="28" applyFont="1"/>
    <xf numFmtId="6" fontId="7" fillId="29" borderId="15" xfId="0" applyNumberFormat="1" applyFont="1" applyFill="1" applyBorder="1"/>
    <xf numFmtId="0" fontId="38" fillId="32" borderId="23" xfId="0" applyFont="1" applyFill="1" applyBorder="1"/>
    <xf numFmtId="0" fontId="0" fillId="32" borderId="24" xfId="0" applyFill="1" applyBorder="1"/>
    <xf numFmtId="0" fontId="7" fillId="32" borderId="19" xfId="0" applyFont="1" applyFill="1" applyBorder="1"/>
    <xf numFmtId="44" fontId="0" fillId="32" borderId="20" xfId="28" applyFont="1" applyFill="1" applyBorder="1"/>
    <xf numFmtId="0" fontId="0" fillId="32" borderId="21" xfId="0" applyFill="1" applyBorder="1"/>
    <xf numFmtId="44" fontId="0" fillId="32" borderId="22" xfId="0" applyNumberFormat="1" applyFill="1" applyBorder="1"/>
    <xf numFmtId="0" fontId="9" fillId="32" borderId="19" xfId="0" applyFont="1" applyFill="1" applyBorder="1" applyAlignment="1">
      <alignment horizontal="right"/>
    </xf>
    <xf numFmtId="44" fontId="0" fillId="32" borderId="39" xfId="28" applyFont="1" applyFill="1" applyBorder="1"/>
    <xf numFmtId="3" fontId="0" fillId="0" borderId="12" xfId="0" applyNumberFormat="1" applyBorder="1"/>
    <xf numFmtId="0" fontId="7" fillId="0" borderId="40" xfId="0" applyFont="1" applyBorder="1"/>
    <xf numFmtId="6" fontId="30" fillId="0" borderId="19" xfId="0" applyNumberFormat="1" applyFont="1" applyBorder="1"/>
    <xf numFmtId="6" fontId="30" fillId="0" borderId="20" xfId="0" applyNumberFormat="1" applyFont="1" applyBorder="1"/>
    <xf numFmtId="0" fontId="9" fillId="0" borderId="41" xfId="0" applyFont="1" applyBorder="1"/>
    <xf numFmtId="9" fontId="9" fillId="0" borderId="15" xfId="44" applyFont="1" applyBorder="1"/>
    <xf numFmtId="0" fontId="9" fillId="33" borderId="0" xfId="0" applyFont="1" applyFill="1"/>
    <xf numFmtId="0" fontId="0" fillId="33" borderId="0" xfId="0" applyFill="1"/>
    <xf numFmtId="0" fontId="7" fillId="0" borderId="0" xfId="63"/>
    <xf numFmtId="0" fontId="9" fillId="25" borderId="0" xfId="63" applyFont="1" applyFill="1"/>
    <xf numFmtId="0" fontId="9" fillId="0" borderId="0" xfId="63" applyFont="1" applyAlignment="1">
      <alignment horizontal="right"/>
    </xf>
    <xf numFmtId="0" fontId="10" fillId="0" borderId="0" xfId="63" applyFont="1"/>
    <xf numFmtId="0" fontId="7" fillId="0" borderId="0" xfId="63" applyAlignment="1">
      <alignment wrapText="1"/>
    </xf>
    <xf numFmtId="0" fontId="9" fillId="0" borderId="0" xfId="63" applyFont="1"/>
    <xf numFmtId="0" fontId="39" fillId="0" borderId="0" xfId="63" applyFont="1"/>
    <xf numFmtId="0" fontId="38" fillId="0" borderId="0" xfId="63" applyFont="1"/>
    <xf numFmtId="9" fontId="0" fillId="0" borderId="0" xfId="65" applyFont="1" applyFill="1" applyBorder="1"/>
    <xf numFmtId="6" fontId="7" fillId="0" borderId="0" xfId="63" applyNumberFormat="1"/>
    <xf numFmtId="0" fontId="7" fillId="0" borderId="0" xfId="63" applyAlignment="1">
      <alignment horizontal="left" vertical="top"/>
    </xf>
    <xf numFmtId="0" fontId="10" fillId="0" borderId="0" xfId="63" applyFont="1" applyAlignment="1">
      <alignment wrapText="1"/>
    </xf>
    <xf numFmtId="0" fontId="7" fillId="24" borderId="0" xfId="63" applyFill="1"/>
    <xf numFmtId="44" fontId="7" fillId="0" borderId="0" xfId="63" applyNumberFormat="1"/>
    <xf numFmtId="0" fontId="7" fillId="28" borderId="0" xfId="63" applyFill="1"/>
    <xf numFmtId="0" fontId="7" fillId="25" borderId="0" xfId="63" applyFill="1" applyAlignment="1">
      <alignment wrapText="1"/>
    </xf>
    <xf numFmtId="0" fontId="7" fillId="25" borderId="0" xfId="63" applyFill="1"/>
    <xf numFmtId="0" fontId="7" fillId="0" borderId="0" xfId="60" applyFont="1"/>
    <xf numFmtId="0" fontId="33" fillId="0" borderId="0" xfId="63" applyFont="1"/>
    <xf numFmtId="0" fontId="1" fillId="0" borderId="0" xfId="60"/>
    <xf numFmtId="0" fontId="33" fillId="0" borderId="0" xfId="63" applyFont="1" applyAlignment="1">
      <alignment horizontal="right"/>
    </xf>
    <xf numFmtId="165" fontId="7" fillId="0" borderId="0" xfId="63" applyNumberFormat="1" applyAlignment="1">
      <alignment wrapText="1"/>
    </xf>
    <xf numFmtId="164" fontId="7" fillId="0" borderId="0" xfId="63" applyNumberFormat="1"/>
    <xf numFmtId="1" fontId="7" fillId="0" borderId="0" xfId="63" applyNumberFormat="1"/>
    <xf numFmtId="8" fontId="7" fillId="0" borderId="0" xfId="63" applyNumberFormat="1"/>
    <xf numFmtId="9" fontId="7" fillId="0" borderId="0" xfId="63" applyNumberFormat="1"/>
    <xf numFmtId="0" fontId="9" fillId="0" borderId="0" xfId="63" applyFont="1" applyAlignment="1">
      <alignment wrapText="1"/>
    </xf>
    <xf numFmtId="165" fontId="9" fillId="0" borderId="12" xfId="63" applyNumberFormat="1" applyFont="1" applyBorder="1"/>
    <xf numFmtId="0" fontId="57" fillId="0" borderId="0" xfId="60" applyFont="1" applyAlignment="1">
      <alignment horizontal="right"/>
    </xf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9" fillId="0" borderId="32" xfId="63" applyFont="1" applyBorder="1"/>
    <xf numFmtId="0" fontId="7" fillId="0" borderId="32" xfId="63" applyBorder="1"/>
    <xf numFmtId="0" fontId="56" fillId="0" borderId="0" xfId="63" applyFont="1" applyAlignment="1">
      <alignment wrapText="1"/>
    </xf>
    <xf numFmtId="0" fontId="34" fillId="0" borderId="0" xfId="63" applyFont="1" applyAlignment="1">
      <alignment horizontal="center"/>
    </xf>
    <xf numFmtId="169" fontId="7" fillId="0" borderId="0" xfId="61" applyNumberFormat="1" applyFont="1" applyBorder="1"/>
    <xf numFmtId="0" fontId="7" fillId="0" borderId="0" xfId="63" applyAlignment="1">
      <alignment horizontal="center"/>
    </xf>
    <xf numFmtId="43" fontId="7" fillId="0" borderId="12" xfId="61" applyFont="1" applyBorder="1"/>
    <xf numFmtId="0" fontId="7" fillId="0" borderId="12" xfId="63" applyBorder="1"/>
    <xf numFmtId="169" fontId="9" fillId="0" borderId="12" xfId="61" applyNumberFormat="1" applyFont="1" applyBorder="1"/>
    <xf numFmtId="165" fontId="7" fillId="0" borderId="0" xfId="63" applyNumberFormat="1"/>
    <xf numFmtId="10" fontId="7" fillId="0" borderId="0" xfId="63" applyNumberFormat="1"/>
    <xf numFmtId="165" fontId="9" fillId="0" borderId="0" xfId="63" applyNumberFormat="1" applyFont="1"/>
    <xf numFmtId="164" fontId="7" fillId="0" borderId="0" xfId="63" applyNumberFormat="1" applyAlignment="1">
      <alignment horizontal="right"/>
    </xf>
    <xf numFmtId="0" fontId="9" fillId="0" borderId="0" xfId="63" applyFont="1" applyAlignment="1">
      <alignment horizontal="right" wrapText="1"/>
    </xf>
    <xf numFmtId="10" fontId="9" fillId="0" borderId="12" xfId="63" applyNumberFormat="1" applyFont="1" applyBorder="1"/>
    <xf numFmtId="2" fontId="7" fillId="0" borderId="0" xfId="63" applyNumberFormat="1"/>
    <xf numFmtId="0" fontId="7" fillId="0" borderId="0" xfId="63" applyAlignment="1">
      <alignment horizontal="left" wrapText="1"/>
    </xf>
    <xf numFmtId="0" fontId="7" fillId="0" borderId="0" xfId="63" applyAlignment="1">
      <alignment horizontal="left"/>
    </xf>
    <xf numFmtId="5" fontId="7" fillId="0" borderId="0" xfId="63" applyNumberFormat="1"/>
    <xf numFmtId="0" fontId="60" fillId="0" borderId="32" xfId="63" applyFont="1" applyBorder="1" applyAlignment="1">
      <alignment wrapText="1"/>
    </xf>
    <xf numFmtId="0" fontId="47" fillId="0" borderId="32" xfId="63" applyFont="1" applyBorder="1"/>
    <xf numFmtId="0" fontId="47" fillId="0" borderId="0" xfId="63" applyFont="1"/>
    <xf numFmtId="165" fontId="9" fillId="0" borderId="0" xfId="63" applyNumberFormat="1" applyFont="1" applyAlignment="1">
      <alignment horizontal="right"/>
    </xf>
    <xf numFmtId="0" fontId="7" fillId="0" borderId="0" xfId="63" applyAlignment="1">
      <alignment horizontal="right"/>
    </xf>
    <xf numFmtId="0" fontId="38" fillId="0" borderId="0" xfId="0" applyFont="1"/>
    <xf numFmtId="8" fontId="37" fillId="0" borderId="0" xfId="0" applyNumberFormat="1" applyFont="1" applyAlignment="1">
      <alignment vertical="center"/>
    </xf>
    <xf numFmtId="3" fontId="0" fillId="0" borderId="0" xfId="0" applyNumberFormat="1"/>
    <xf numFmtId="165" fontId="7" fillId="0" borderId="17" xfId="0" applyNumberFormat="1" applyFont="1" applyBorder="1"/>
    <xf numFmtId="0" fontId="7" fillId="0" borderId="18" xfId="28" applyNumberFormat="1" applyFont="1" applyFill="1" applyBorder="1"/>
    <xf numFmtId="165" fontId="7" fillId="0" borderId="15" xfId="0" applyNumberFormat="1" applyFont="1" applyBorder="1"/>
    <xf numFmtId="0" fontId="7" fillId="0" borderId="13" xfId="28" applyNumberFormat="1" applyFont="1" applyFill="1" applyBorder="1"/>
    <xf numFmtId="165" fontId="7" fillId="0" borderId="10" xfId="0" applyNumberFormat="1" applyFont="1" applyBorder="1"/>
    <xf numFmtId="9" fontId="7" fillId="0" borderId="42" xfId="44" applyFont="1" applyFill="1" applyBorder="1"/>
    <xf numFmtId="165" fontId="7" fillId="29" borderId="0" xfId="0" applyNumberFormat="1" applyFont="1" applyFill="1"/>
    <xf numFmtId="165" fontId="7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7" fillId="0" borderId="0" xfId="63" applyNumberFormat="1"/>
    <xf numFmtId="0" fontId="7" fillId="0" borderId="0" xfId="61" applyNumberFormat="1" applyFont="1" applyFill="1" applyBorder="1"/>
    <xf numFmtId="0" fontId="7" fillId="0" borderId="0" xfId="61" applyNumberFormat="1" applyFont="1" applyBorder="1"/>
    <xf numFmtId="44" fontId="7" fillId="27" borderId="0" xfId="28" applyFill="1" applyAlignment="1">
      <alignment horizontal="left"/>
    </xf>
    <xf numFmtId="164" fontId="51" fillId="0" borderId="11" xfId="28" applyNumberFormat="1" applyFont="1" applyBorder="1"/>
    <xf numFmtId="164" fontId="51" fillId="31" borderId="36" xfId="28" applyNumberFormat="1" applyFont="1" applyFill="1" applyBorder="1" applyAlignment="1">
      <alignment horizontal="center" vertical="center" wrapText="1" readingOrder="1"/>
    </xf>
    <xf numFmtId="164" fontId="51" fillId="0" borderId="0" xfId="28" applyNumberFormat="1" applyFont="1"/>
    <xf numFmtId="9" fontId="7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9" fillId="0" borderId="11" xfId="0" applyFont="1" applyBorder="1" applyAlignment="1">
      <alignment wrapText="1"/>
    </xf>
    <xf numFmtId="8" fontId="0" fillId="0" borderId="11" xfId="0" applyNumberFormat="1" applyBorder="1"/>
    <xf numFmtId="167" fontId="9" fillId="0" borderId="11" xfId="28" applyNumberFormat="1" applyFont="1" applyFill="1" applyBorder="1" applyAlignment="1">
      <alignment horizontal="left" wrapText="1"/>
    </xf>
    <xf numFmtId="2" fontId="9" fillId="0" borderId="12" xfId="0" applyNumberFormat="1" applyFont="1" applyBorder="1"/>
    <xf numFmtId="0" fontId="0" fillId="34" borderId="23" xfId="0" applyFill="1" applyBorder="1"/>
    <xf numFmtId="6" fontId="0" fillId="34" borderId="31" xfId="0" applyNumberFormat="1" applyFill="1" applyBorder="1" applyAlignment="1">
      <alignment horizontal="center" vertical="center"/>
    </xf>
    <xf numFmtId="0" fontId="0" fillId="34" borderId="19" xfId="0" applyFill="1" applyBorder="1"/>
    <xf numFmtId="0" fontId="0" fillId="34" borderId="21" xfId="0" applyFill="1" applyBorder="1"/>
    <xf numFmtId="6" fontId="0" fillId="34" borderId="32" xfId="0" applyNumberFormat="1" applyFill="1" applyBorder="1" applyAlignment="1">
      <alignment horizontal="center" vertical="center"/>
    </xf>
    <xf numFmtId="43" fontId="0" fillId="0" borderId="0" xfId="67" applyFont="1"/>
    <xf numFmtId="0" fontId="7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0" fontId="9" fillId="0" borderId="14" xfId="0" applyFont="1" applyBorder="1"/>
    <xf numFmtId="44" fontId="0" fillId="0" borderId="0" xfId="28" applyFont="1"/>
    <xf numFmtId="9" fontId="7" fillId="0" borderId="0" xfId="44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7" fillId="28" borderId="0" xfId="0" quotePrefix="1" applyFont="1" applyFill="1" applyAlignment="1">
      <alignment horizontal="right" vertical="center" wrapText="1"/>
    </xf>
    <xf numFmtId="8" fontId="7" fillId="0" borderId="11" xfId="0" applyNumberFormat="1" applyFont="1" applyBorder="1" applyAlignment="1">
      <alignment vertical="center" wrapText="1"/>
    </xf>
    <xf numFmtId="6" fontId="0" fillId="34" borderId="24" xfId="0" applyNumberFormat="1" applyFill="1" applyBorder="1" applyAlignment="1">
      <alignment horizontal="center" vertical="center"/>
    </xf>
    <xf numFmtId="6" fontId="0" fillId="34" borderId="20" xfId="0" applyNumberFormat="1" applyFill="1" applyBorder="1" applyAlignment="1">
      <alignment horizontal="center" vertical="center"/>
    </xf>
    <xf numFmtId="6" fontId="0" fillId="34" borderId="22" xfId="0" applyNumberFormat="1" applyFill="1" applyBorder="1" applyAlignment="1">
      <alignment horizontal="center" vertical="center"/>
    </xf>
    <xf numFmtId="6" fontId="7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0" fillId="0" borderId="15" xfId="0" applyNumberFormat="1" applyFont="1" applyBorder="1"/>
    <xf numFmtId="167" fontId="0" fillId="0" borderId="15" xfId="28" applyNumberFormat="1" applyFont="1" applyFill="1" applyBorder="1"/>
    <xf numFmtId="6" fontId="0" fillId="0" borderId="16" xfId="0" applyNumberFormat="1" applyBorder="1"/>
    <xf numFmtId="0" fontId="7" fillId="0" borderId="16" xfId="0" applyFont="1" applyBorder="1"/>
    <xf numFmtId="6" fontId="0" fillId="0" borderId="14" xfId="0" applyNumberFormat="1" applyBorder="1"/>
    <xf numFmtId="0" fontId="10" fillId="0" borderId="15" xfId="0" applyFont="1" applyBorder="1"/>
    <xf numFmtId="0" fontId="9" fillId="0" borderId="10" xfId="0" applyFont="1" applyBorder="1" applyAlignment="1">
      <alignment wrapText="1"/>
    </xf>
    <xf numFmtId="8" fontId="0" fillId="0" borderId="10" xfId="0" applyNumberFormat="1" applyBorder="1"/>
    <xf numFmtId="8" fontId="9" fillId="0" borderId="10" xfId="0" applyNumberFormat="1" applyFont="1" applyBorder="1"/>
    <xf numFmtId="0" fontId="9" fillId="0" borderId="44" xfId="0" applyFont="1" applyBorder="1" applyAlignment="1">
      <alignment wrapText="1"/>
    </xf>
    <xf numFmtId="8" fontId="7" fillId="0" borderId="19" xfId="0" applyNumberFormat="1" applyFont="1" applyBorder="1"/>
    <xf numFmtId="0" fontId="0" fillId="0" borderId="22" xfId="0" applyBorder="1"/>
    <xf numFmtId="0" fontId="7" fillId="0" borderId="24" xfId="0" applyFont="1" applyBorder="1"/>
    <xf numFmtId="8" fontId="0" fillId="0" borderId="20" xfId="0" applyNumberFormat="1" applyBorder="1"/>
    <xf numFmtId="6" fontId="0" fillId="27" borderId="11" xfId="0" applyNumberFormat="1" applyFill="1" applyBorder="1" applyAlignment="1">
      <alignment horizontal="left"/>
    </xf>
    <xf numFmtId="9" fontId="51" fillId="0" borderId="0" xfId="44" applyFont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3" xfId="63" applyNumberFormat="1" applyFont="1" applyBorder="1" applyAlignment="1">
      <alignment wrapText="1"/>
    </xf>
    <xf numFmtId="0" fontId="66" fillId="0" borderId="45" xfId="63" applyFont="1" applyBorder="1"/>
    <xf numFmtId="0" fontId="67" fillId="0" borderId="0" xfId="60" applyFont="1"/>
    <xf numFmtId="165" fontId="10" fillId="0" borderId="21" xfId="0" applyNumberFormat="1" applyFont="1" applyBorder="1" applyAlignment="1">
      <alignment horizontal="left" vertical="top" wrapText="1"/>
    </xf>
    <xf numFmtId="165" fontId="10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1" fontId="56" fillId="35" borderId="14" xfId="0" applyNumberFormat="1" applyFont="1" applyFill="1" applyBorder="1"/>
    <xf numFmtId="9" fontId="0" fillId="0" borderId="16" xfId="44" applyFont="1" applyFill="1" applyBorder="1"/>
    <xf numFmtId="0" fontId="47" fillId="0" borderId="0" xfId="0" applyFont="1"/>
    <xf numFmtId="1" fontId="33" fillId="0" borderId="0" xfId="0" applyNumberFormat="1" applyFont="1"/>
    <xf numFmtId="0" fontId="7" fillId="36" borderId="0" xfId="63" applyFill="1"/>
    <xf numFmtId="0" fontId="7" fillId="0" borderId="0" xfId="63" quotePrefix="1"/>
    <xf numFmtId="0" fontId="7" fillId="0" borderId="0" xfId="63" applyAlignment="1">
      <alignment horizontal="center" wrapText="1"/>
    </xf>
    <xf numFmtId="8" fontId="7" fillId="28" borderId="0" xfId="63" applyNumberFormat="1" applyFill="1"/>
    <xf numFmtId="0" fontId="49" fillId="0" borderId="0" xfId="62" applyAlignment="1">
      <alignment horizontal="left" vertical="top"/>
    </xf>
    <xf numFmtId="0" fontId="68" fillId="37" borderId="0" xfId="62" applyFont="1" applyFill="1" applyAlignment="1">
      <alignment horizontal="left" vertical="top"/>
    </xf>
    <xf numFmtId="0" fontId="68" fillId="0" borderId="0" xfId="62" applyFont="1" applyAlignment="1">
      <alignment horizontal="left" vertical="top"/>
    </xf>
    <xf numFmtId="0" fontId="69" fillId="0" borderId="11" xfId="62" applyFont="1" applyBorder="1" applyAlignment="1">
      <alignment horizontal="left" vertical="top"/>
    </xf>
    <xf numFmtId="0" fontId="70" fillId="0" borderId="11" xfId="63" applyFont="1" applyBorder="1"/>
    <xf numFmtId="0" fontId="68" fillId="0" borderId="11" xfId="62" applyFont="1" applyBorder="1" applyAlignment="1">
      <alignment horizontal="left" vertical="top"/>
    </xf>
    <xf numFmtId="172" fontId="68" fillId="0" borderId="11" xfId="62" applyNumberFormat="1" applyFont="1" applyBorder="1" applyAlignment="1">
      <alignment horizontal="left" vertical="top"/>
    </xf>
    <xf numFmtId="172" fontId="68" fillId="0" borderId="0" xfId="62" applyNumberFormat="1" applyFont="1" applyAlignment="1">
      <alignment horizontal="left" vertical="top"/>
    </xf>
    <xf numFmtId="172" fontId="68" fillId="0" borderId="15" xfId="62" applyNumberFormat="1" applyFont="1" applyBorder="1" applyAlignment="1">
      <alignment horizontal="left" vertical="top"/>
    </xf>
    <xf numFmtId="6" fontId="10" fillId="0" borderId="11" xfId="0" applyNumberFormat="1" applyFont="1" applyBorder="1"/>
    <xf numFmtId="2" fontId="10" fillId="0" borderId="11" xfId="0" applyNumberFormat="1" applyFont="1" applyBorder="1"/>
    <xf numFmtId="0" fontId="9" fillId="37" borderId="0" xfId="63" applyFont="1" applyFill="1"/>
    <xf numFmtId="0" fontId="7" fillId="0" borderId="0" xfId="63" applyAlignment="1">
      <alignment vertical="top" wrapText="1"/>
    </xf>
    <xf numFmtId="0" fontId="7" fillId="38" borderId="0" xfId="63" applyFill="1" applyAlignment="1">
      <alignment wrapText="1"/>
    </xf>
    <xf numFmtId="44" fontId="36" fillId="0" borderId="0" xfId="63" applyNumberFormat="1" applyFont="1"/>
    <xf numFmtId="6" fontId="36" fillId="0" borderId="0" xfId="63" applyNumberFormat="1" applyFont="1"/>
    <xf numFmtId="0" fontId="7" fillId="0" borderId="16" xfId="63" applyBorder="1"/>
    <xf numFmtId="0" fontId="7" fillId="0" borderId="16" xfId="63" applyBorder="1" applyAlignment="1">
      <alignment wrapText="1"/>
    </xf>
    <xf numFmtId="44" fontId="7" fillId="0" borderId="16" xfId="63" applyNumberFormat="1" applyBorder="1"/>
    <xf numFmtId="0" fontId="47" fillId="0" borderId="0" xfId="0" applyFont="1" applyAlignment="1">
      <alignment horizontal="right"/>
    </xf>
    <xf numFmtId="44" fontId="0" fillId="27" borderId="46" xfId="28" applyFont="1" applyFill="1" applyBorder="1"/>
    <xf numFmtId="1" fontId="41" fillId="0" borderId="0" xfId="0" applyNumberFormat="1" applyFont="1"/>
    <xf numFmtId="9" fontId="0" fillId="28" borderId="0" xfId="0" applyNumberFormat="1" applyFill="1"/>
    <xf numFmtId="165" fontId="7" fillId="0" borderId="46" xfId="0" applyNumberFormat="1" applyFont="1" applyBorder="1"/>
    <xf numFmtId="0" fontId="50" fillId="0" borderId="0" xfId="0" applyFont="1"/>
    <xf numFmtId="0" fontId="41" fillId="39" borderId="0" xfId="0" applyFont="1" applyFill="1"/>
    <xf numFmtId="168" fontId="47" fillId="39" borderId="0" xfId="0" applyNumberFormat="1" applyFont="1" applyFill="1"/>
    <xf numFmtId="173" fontId="41" fillId="39" borderId="0" xfId="0" applyNumberFormat="1" applyFont="1" applyFill="1"/>
    <xf numFmtId="165" fontId="7" fillId="27" borderId="0" xfId="0" applyNumberFormat="1" applyFont="1" applyFill="1"/>
    <xf numFmtId="0" fontId="71" fillId="0" borderId="0" xfId="0" applyFont="1"/>
    <xf numFmtId="6" fontId="9" fillId="0" borderId="0" xfId="63" applyNumberFormat="1" applyFont="1"/>
    <xf numFmtId="165" fontId="0" fillId="0" borderId="0" xfId="28" applyNumberFormat="1" applyFont="1"/>
    <xf numFmtId="44" fontId="0" fillId="0" borderId="0" xfId="0" applyNumberFormat="1"/>
    <xf numFmtId="44" fontId="0" fillId="0" borderId="12" xfId="28" applyFont="1" applyFill="1" applyBorder="1"/>
    <xf numFmtId="0" fontId="72" fillId="0" borderId="0" xfId="0" applyFont="1"/>
    <xf numFmtId="165" fontId="7" fillId="0" borderId="0" xfId="63" applyNumberFormat="1" applyAlignment="1">
      <alignment horizontal="right"/>
    </xf>
    <xf numFmtId="9" fontId="7" fillId="27" borderId="0" xfId="63" applyNumberFormat="1" applyFill="1" applyAlignment="1">
      <alignment horizontal="right"/>
    </xf>
    <xf numFmtId="165" fontId="9" fillId="0" borderId="12" xfId="63" applyNumberFormat="1" applyFont="1" applyBorder="1" applyAlignment="1">
      <alignment horizontal="right"/>
    </xf>
    <xf numFmtId="44" fontId="7" fillId="0" borderId="0" xfId="28"/>
    <xf numFmtId="1" fontId="7" fillId="0" borderId="15" xfId="0" applyNumberFormat="1" applyFont="1" applyBorder="1"/>
    <xf numFmtId="164" fontId="9" fillId="0" borderId="12" xfId="63" applyNumberFormat="1" applyFont="1" applyBorder="1"/>
    <xf numFmtId="164" fontId="73" fillId="0" borderId="0" xfId="60" applyNumberFormat="1" applyFont="1"/>
    <xf numFmtId="164" fontId="45" fillId="0" borderId="0" xfId="63" applyNumberFormat="1" applyFont="1"/>
    <xf numFmtId="0" fontId="41" fillId="0" borderId="0" xfId="63" applyFont="1" applyAlignment="1">
      <alignment wrapText="1"/>
    </xf>
    <xf numFmtId="0" fontId="49" fillId="0" borderId="11" xfId="62" applyBorder="1" applyAlignment="1">
      <alignment horizontal="left" vertical="top"/>
    </xf>
    <xf numFmtId="0" fontId="74" fillId="0" borderId="11" xfId="62" applyFont="1" applyBorder="1" applyAlignment="1">
      <alignment horizontal="left" vertical="top"/>
    </xf>
    <xf numFmtId="10" fontId="49" fillId="0" borderId="11" xfId="62" applyNumberFormat="1" applyBorder="1" applyAlignment="1">
      <alignment horizontal="left" vertical="top"/>
    </xf>
    <xf numFmtId="0" fontId="75" fillId="0" borderId="0" xfId="62" applyFont="1" applyAlignment="1">
      <alignment horizontal="left" vertical="top"/>
    </xf>
    <xf numFmtId="0" fontId="76" fillId="0" borderId="0" xfId="62" applyFont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52" fillId="31" borderId="38" xfId="28" applyNumberFormat="1" applyFont="1" applyFill="1" applyBorder="1" applyAlignment="1">
      <alignment horizontal="right" vertical="center" wrapText="1" readingOrder="1"/>
    </xf>
    <xf numFmtId="164" fontId="51" fillId="31" borderId="36" xfId="28" applyNumberFormat="1" applyFont="1" applyFill="1" applyBorder="1" applyAlignment="1">
      <alignment horizontal="right" vertical="center" wrapText="1" readingOrder="1"/>
    </xf>
    <xf numFmtId="164" fontId="77" fillId="0" borderId="11" xfId="0" applyNumberFormat="1" applyFont="1" applyBorder="1"/>
    <xf numFmtId="0" fontId="77" fillId="0" borderId="11" xfId="0" applyFont="1" applyBorder="1"/>
    <xf numFmtId="0" fontId="77" fillId="0" borderId="0" xfId="0" applyFont="1"/>
    <xf numFmtId="9" fontId="77" fillId="0" borderId="0" xfId="44" applyFont="1"/>
    <xf numFmtId="0" fontId="78" fillId="0" borderId="11" xfId="0" applyFont="1" applyBorder="1"/>
    <xf numFmtId="9" fontId="78" fillId="0" borderId="11" xfId="0" applyNumberFormat="1" applyFont="1" applyBorder="1"/>
    <xf numFmtId="10" fontId="77" fillId="0" borderId="0" xfId="44" applyNumberFormat="1" applyFont="1"/>
    <xf numFmtId="164" fontId="77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5" fillId="0" borderId="0" xfId="63" applyFont="1"/>
    <xf numFmtId="6" fontId="0" fillId="27" borderId="11" xfId="0" applyNumberFormat="1" applyFill="1" applyBorder="1" applyAlignment="1">
      <alignment horizontal="center" vertical="top"/>
    </xf>
    <xf numFmtId="6" fontId="0" fillId="27" borderId="45" xfId="0" applyNumberFormat="1" applyFill="1" applyBorder="1" applyAlignment="1">
      <alignment horizontal="center" vertical="top"/>
    </xf>
    <xf numFmtId="0" fontId="78" fillId="0" borderId="0" xfId="0" applyFont="1"/>
    <xf numFmtId="0" fontId="78" fillId="27" borderId="11" xfId="0" applyFont="1" applyFill="1" applyBorder="1"/>
    <xf numFmtId="0" fontId="79" fillId="0" borderId="11" xfId="0" applyFont="1" applyBorder="1"/>
    <xf numFmtId="0" fontId="77" fillId="27" borderId="11" xfId="0" applyFont="1" applyFill="1" applyBorder="1"/>
    <xf numFmtId="164" fontId="80" fillId="0" borderId="11" xfId="0" applyNumberFormat="1" applyFont="1" applyBorder="1"/>
    <xf numFmtId="164" fontId="80" fillId="0" borderId="11" xfId="0" applyNumberFormat="1" applyFont="1" applyBorder="1" applyAlignment="1">
      <alignment horizontal="right"/>
    </xf>
    <xf numFmtId="0" fontId="78" fillId="27" borderId="10" xfId="0" applyFont="1" applyFill="1" applyBorder="1"/>
    <xf numFmtId="0" fontId="78" fillId="0" borderId="11" xfId="0" applyFont="1" applyBorder="1" applyAlignment="1">
      <alignment wrapText="1"/>
    </xf>
    <xf numFmtId="9" fontId="81" fillId="0" borderId="11" xfId="0" applyNumberFormat="1" applyFont="1" applyBorder="1"/>
    <xf numFmtId="164" fontId="80" fillId="31" borderId="37" xfId="28" applyNumberFormat="1" applyFont="1" applyFill="1" applyBorder="1" applyAlignment="1">
      <alignment horizontal="right" vertical="center" wrapText="1" readingOrder="1"/>
    </xf>
    <xf numFmtId="0" fontId="7" fillId="28" borderId="0" xfId="0" applyFont="1" applyFill="1" applyProtection="1">
      <protection locked="0"/>
    </xf>
    <xf numFmtId="0" fontId="7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9" fillId="0" borderId="3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7" fontId="7" fillId="0" borderId="0" xfId="28" applyNumberFormat="1" applyFont="1" applyFill="1"/>
    <xf numFmtId="167" fontId="7" fillId="0" borderId="0" xfId="28" applyNumberFormat="1"/>
    <xf numFmtId="9" fontId="7" fillId="0" borderId="32" xfId="44" applyBorder="1"/>
    <xf numFmtId="9" fontId="7" fillId="0" borderId="0" xfId="63" applyNumberFormat="1" applyAlignment="1">
      <alignment horizontal="right"/>
    </xf>
    <xf numFmtId="0" fontId="8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1" fillId="0" borderId="0" xfId="60" applyNumberFormat="1"/>
    <xf numFmtId="167" fontId="0" fillId="0" borderId="0" xfId="0" applyNumberFormat="1"/>
    <xf numFmtId="169" fontId="7" fillId="0" borderId="0" xfId="63" applyNumberFormat="1"/>
    <xf numFmtId="0" fontId="83" fillId="0" borderId="0" xfId="0" applyFont="1"/>
    <xf numFmtId="0" fontId="84" fillId="0" borderId="0" xfId="0" applyFont="1"/>
    <xf numFmtId="43" fontId="66" fillId="0" borderId="16" xfId="63" applyNumberFormat="1" applyFont="1" applyBorder="1"/>
    <xf numFmtId="9" fontId="9" fillId="0" borderId="0" xfId="63" applyNumberFormat="1" applyFont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164" fontId="10" fillId="0" borderId="0" xfId="63" applyNumberFormat="1" applyFont="1"/>
    <xf numFmtId="44" fontId="34" fillId="0" borderId="0" xfId="63" applyNumberFormat="1" applyFont="1"/>
    <xf numFmtId="167" fontId="10" fillId="0" borderId="0" xfId="28" applyNumberFormat="1" applyFont="1"/>
    <xf numFmtId="6" fontId="0" fillId="30" borderId="31" xfId="0" applyNumberFormat="1" applyFill="1" applyBorder="1" applyAlignment="1">
      <alignment horizontal="center" vertical="center"/>
    </xf>
    <xf numFmtId="164" fontId="0" fillId="30" borderId="24" xfId="28" applyNumberFormat="1" applyFont="1" applyFill="1" applyBorder="1" applyAlignment="1">
      <alignment horizontal="center" vertical="center"/>
    </xf>
    <xf numFmtId="164" fontId="0" fillId="30" borderId="20" xfId="28" applyNumberFormat="1" applyFont="1" applyFill="1" applyBorder="1" applyAlignment="1">
      <alignment horizontal="center" vertical="center"/>
    </xf>
    <xf numFmtId="164" fontId="0" fillId="30" borderId="22" xfId="28" applyNumberFormat="1" applyFont="1" applyFill="1" applyBorder="1" applyAlignment="1">
      <alignment horizontal="center" vertical="center"/>
    </xf>
    <xf numFmtId="6" fontId="0" fillId="38" borderId="20" xfId="0" applyNumberFormat="1" applyFill="1" applyBorder="1" applyAlignment="1">
      <alignment horizontal="center" vertical="center"/>
    </xf>
    <xf numFmtId="6" fontId="0" fillId="38" borderId="32" xfId="0" applyNumberFormat="1" applyFill="1" applyBorder="1" applyAlignment="1">
      <alignment horizontal="center" vertical="center"/>
    </xf>
    <xf numFmtId="6" fontId="0" fillId="38" borderId="22" xfId="0" applyNumberFormat="1" applyFill="1" applyBorder="1" applyAlignment="1">
      <alignment horizontal="center" vertical="center"/>
    </xf>
    <xf numFmtId="0" fontId="7" fillId="38" borderId="19" xfId="63" applyFill="1" applyBorder="1"/>
    <xf numFmtId="6" fontId="7" fillId="38" borderId="20" xfId="63" applyNumberFormat="1" applyFill="1" applyBorder="1" applyAlignment="1">
      <alignment horizontal="center"/>
    </xf>
    <xf numFmtId="0" fontId="7" fillId="38" borderId="21" xfId="63" applyFill="1" applyBorder="1"/>
    <xf numFmtId="6" fontId="7" fillId="38" borderId="32" xfId="63" applyNumberFormat="1" applyFill="1" applyBorder="1" applyAlignment="1">
      <alignment horizontal="center"/>
    </xf>
    <xf numFmtId="6" fontId="7" fillId="38" borderId="22" xfId="63" applyNumberFormat="1" applyFill="1" applyBorder="1" applyAlignment="1">
      <alignment horizontal="center"/>
    </xf>
    <xf numFmtId="174" fontId="7" fillId="0" borderId="0" xfId="63" applyNumberFormat="1"/>
    <xf numFmtId="0" fontId="64" fillId="0" borderId="0" xfId="63" applyFont="1"/>
    <xf numFmtId="3" fontId="85" fillId="0" borderId="0" xfId="0" applyNumberFormat="1" applyFont="1"/>
    <xf numFmtId="164" fontId="52" fillId="42" borderId="37" xfId="28" applyNumberFormat="1" applyFont="1" applyFill="1" applyBorder="1" applyAlignment="1">
      <alignment horizontal="right" vertical="center" wrapText="1" readingOrder="1"/>
    </xf>
    <xf numFmtId="164" fontId="51" fillId="42" borderId="11" xfId="28" applyNumberFormat="1" applyFont="1" applyFill="1" applyBorder="1" applyAlignment="1">
      <alignment horizontal="right"/>
    </xf>
    <xf numFmtId="6" fontId="7" fillId="0" borderId="45" xfId="0" applyNumberFormat="1" applyFont="1" applyBorder="1"/>
    <xf numFmtId="6" fontId="0" fillId="0" borderId="11" xfId="0" applyNumberFormat="1" applyBorder="1"/>
    <xf numFmtId="0" fontId="7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7" fillId="27" borderId="11" xfId="0" applyFont="1" applyFill="1" applyBorder="1" applyAlignment="1">
      <alignment vertical="top" wrapText="1"/>
    </xf>
    <xf numFmtId="0" fontId="68" fillId="43" borderId="0" xfId="62" applyFont="1" applyFill="1" applyAlignment="1">
      <alignment horizontal="left" vertical="top"/>
    </xf>
    <xf numFmtId="0" fontId="87" fillId="0" borderId="11" xfId="62" applyFont="1" applyBorder="1" applyAlignment="1">
      <alignment horizontal="left" vertical="top"/>
    </xf>
    <xf numFmtId="1" fontId="10" fillId="0" borderId="11" xfId="0" applyNumberFormat="1" applyFont="1" applyBorder="1"/>
    <xf numFmtId="1" fontId="50" fillId="0" borderId="11" xfId="0" applyNumberFormat="1" applyFont="1" applyBorder="1"/>
    <xf numFmtId="165" fontId="10" fillId="0" borderId="0" xfId="0" applyNumberFormat="1" applyFont="1"/>
    <xf numFmtId="0" fontId="0" fillId="0" borderId="0" xfId="63" applyFont="1"/>
    <xf numFmtId="164" fontId="88" fillId="0" borderId="0" xfId="63" applyNumberFormat="1" applyFont="1"/>
    <xf numFmtId="175" fontId="88" fillId="0" borderId="0" xfId="63" applyNumberFormat="1" applyFont="1"/>
    <xf numFmtId="43" fontId="0" fillId="0" borderId="0" xfId="63" applyNumberFormat="1" applyFont="1"/>
    <xf numFmtId="167" fontId="7" fillId="0" borderId="0" xfId="28" applyNumberFormat="1" applyBorder="1"/>
    <xf numFmtId="174" fontId="1" fillId="0" borderId="0" xfId="60" applyNumberFormat="1"/>
    <xf numFmtId="174" fontId="45" fillId="0" borderId="0" xfId="63" applyNumberFormat="1" applyFont="1"/>
    <xf numFmtId="43" fontId="45" fillId="0" borderId="0" xfId="63" applyNumberFormat="1" applyFont="1"/>
    <xf numFmtId="2" fontId="45" fillId="0" borderId="0" xfId="65" applyNumberFormat="1" applyFont="1" applyBorder="1"/>
    <xf numFmtId="43" fontId="7" fillId="0" borderId="0" xfId="66" applyNumberFormat="1" applyFont="1" applyBorder="1"/>
    <xf numFmtId="176" fontId="7" fillId="0" borderId="0" xfId="61" applyNumberFormat="1" applyFont="1" applyFill="1" applyBorder="1" applyAlignment="1">
      <alignment horizontal="right"/>
    </xf>
    <xf numFmtId="0" fontId="9" fillId="27" borderId="11" xfId="0" applyFont="1" applyFill="1" applyBorder="1" applyAlignment="1">
      <alignment vertical="top" wrapText="1"/>
    </xf>
    <xf numFmtId="6" fontId="7" fillId="0" borderId="46" xfId="0" applyNumberFormat="1" applyFont="1" applyBorder="1"/>
    <xf numFmtId="44" fontId="1" fillId="0" borderId="0" xfId="60" applyNumberFormat="1"/>
    <xf numFmtId="0" fontId="21" fillId="0" borderId="0" xfId="35" applyAlignment="1" applyProtection="1">
      <alignment horizontal="left" vertical="top"/>
    </xf>
    <xf numFmtId="1" fontId="49" fillId="0" borderId="0" xfId="62" applyNumberFormat="1" applyAlignment="1">
      <alignment horizontal="left" vertical="top"/>
    </xf>
    <xf numFmtId="9" fontId="49" fillId="0" borderId="0" xfId="44" applyFont="1" applyAlignment="1">
      <alignment horizontal="left" vertical="top"/>
    </xf>
    <xf numFmtId="165" fontId="51" fillId="0" borderId="11" xfId="28" applyNumberFormat="1" applyFont="1" applyBorder="1"/>
    <xf numFmtId="165" fontId="77" fillId="0" borderId="11" xfId="0" applyNumberFormat="1" applyFont="1" applyBorder="1"/>
    <xf numFmtId="1" fontId="0" fillId="0" borderId="0" xfId="0" applyNumberFormat="1"/>
    <xf numFmtId="165" fontId="89" fillId="0" borderId="0" xfId="0" applyNumberFormat="1" applyFont="1"/>
    <xf numFmtId="9" fontId="7" fillId="0" borderId="0" xfId="44" applyFont="1" applyFill="1" applyBorder="1" applyAlignment="1">
      <alignment horizontal="right"/>
    </xf>
    <xf numFmtId="9" fontId="10" fillId="0" borderId="0" xfId="63" applyNumberFormat="1" applyFont="1"/>
    <xf numFmtId="9" fontId="9" fillId="0" borderId="0" xfId="44" applyFont="1" applyBorder="1"/>
    <xf numFmtId="0" fontId="9" fillId="0" borderId="12" xfId="63" applyFont="1" applyBorder="1" applyAlignment="1">
      <alignment horizontal="right"/>
    </xf>
    <xf numFmtId="177" fontId="0" fillId="0" borderId="0" xfId="0" applyNumberFormat="1"/>
    <xf numFmtId="178" fontId="0" fillId="0" borderId="0" xfId="0" applyNumberFormat="1"/>
    <xf numFmtId="0" fontId="78" fillId="27" borderId="14" xfId="0" applyFont="1" applyFill="1" applyBorder="1"/>
    <xf numFmtId="164" fontId="51" fillId="27" borderId="11" xfId="28" applyNumberFormat="1" applyFont="1" applyFill="1" applyBorder="1"/>
    <xf numFmtId="0" fontId="0" fillId="27" borderId="0" xfId="0" applyFill="1"/>
    <xf numFmtId="164" fontId="51" fillId="0" borderId="0" xfId="28" applyNumberFormat="1" applyFont="1" applyBorder="1"/>
    <xf numFmtId="0" fontId="7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7" fillId="28" borderId="28" xfId="0" applyNumberFormat="1" applyFont="1" applyFill="1" applyBorder="1"/>
    <xf numFmtId="44" fontId="9" fillId="0" borderId="12" xfId="28" applyFont="1" applyBorder="1"/>
    <xf numFmtId="165" fontId="51" fillId="0" borderId="47" xfId="28" applyNumberFormat="1" applyFont="1" applyFill="1" applyBorder="1" applyAlignment="1">
      <alignment horizontal="right" vertical="center" wrapText="1" readingOrder="1"/>
    </xf>
    <xf numFmtId="165" fontId="51" fillId="0" borderId="10" xfId="28" applyNumberFormat="1" applyFont="1" applyFill="1" applyBorder="1"/>
    <xf numFmtId="165" fontId="52" fillId="27" borderId="48" xfId="28" applyNumberFormat="1" applyFont="1" applyFill="1" applyBorder="1" applyAlignment="1">
      <alignment horizontal="right" vertical="center" wrapText="1" readingOrder="1"/>
    </xf>
    <xf numFmtId="165" fontId="51" fillId="27" borderId="47" xfId="28" applyNumberFormat="1" applyFont="1" applyFill="1" applyBorder="1" applyAlignment="1">
      <alignment horizontal="right" vertical="center" wrapText="1" readingOrder="1"/>
    </xf>
    <xf numFmtId="165" fontId="51" fillId="27" borderId="10" xfId="28" applyNumberFormat="1" applyFont="1" applyFill="1" applyBorder="1"/>
    <xf numFmtId="165" fontId="77" fillId="0" borderId="0" xfId="0" applyNumberFormat="1" applyFont="1"/>
    <xf numFmtId="0" fontId="7" fillId="0" borderId="23" xfId="0" applyFont="1" applyBorder="1"/>
    <xf numFmtId="0" fontId="0" fillId="0" borderId="49" xfId="0" applyBorder="1"/>
    <xf numFmtId="0" fontId="0" fillId="0" borderId="31" xfId="0" applyBorder="1"/>
    <xf numFmtId="0" fontId="0" fillId="0" borderId="24" xfId="0" applyBorder="1"/>
    <xf numFmtId="0" fontId="7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9" fillId="44" borderId="11" xfId="0" applyFont="1" applyFill="1" applyBorder="1" applyAlignment="1">
      <alignment wrapText="1"/>
    </xf>
    <xf numFmtId="10" fontId="7" fillId="27" borderId="11" xfId="63" applyNumberFormat="1" applyFill="1" applyBorder="1"/>
    <xf numFmtId="9" fontId="0" fillId="0" borderId="0" xfId="44" applyFont="1" applyFill="1"/>
    <xf numFmtId="44" fontId="0" fillId="0" borderId="0" xfId="28" applyFont="1" applyFill="1"/>
    <xf numFmtId="164" fontId="7" fillId="0" borderId="0" xfId="28" applyNumberFormat="1" applyFont="1"/>
    <xf numFmtId="10" fontId="7" fillId="27" borderId="11" xfId="0" applyNumberFormat="1" applyFont="1" applyFill="1" applyBorder="1"/>
    <xf numFmtId="164" fontId="0" fillId="0" borderId="42" xfId="28" applyNumberFormat="1" applyFont="1" applyFill="1" applyBorder="1"/>
    <xf numFmtId="8" fontId="7" fillId="0" borderId="45" xfId="0" applyNumberFormat="1" applyFont="1" applyBorder="1"/>
    <xf numFmtId="2" fontId="10" fillId="0" borderId="0" xfId="0" applyNumberFormat="1" applyFont="1"/>
    <xf numFmtId="8" fontId="0" fillId="28" borderId="0" xfId="0" applyNumberFormat="1" applyFill="1"/>
    <xf numFmtId="0" fontId="0" fillId="27" borderId="11" xfId="0" applyFill="1" applyBorder="1" applyAlignment="1" applyProtection="1">
      <alignment horizontal="center" vertical="center"/>
      <protection locked="0"/>
    </xf>
    <xf numFmtId="0" fontId="7" fillId="27" borderId="11" xfId="0" applyFont="1" applyFill="1" applyBorder="1" applyAlignment="1" applyProtection="1">
      <alignment horizontal="center" vertical="center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1" fontId="0" fillId="27" borderId="11" xfId="44" applyNumberFormat="1" applyFont="1" applyFill="1" applyBorder="1" applyProtection="1">
      <protection locked="0"/>
    </xf>
    <xf numFmtId="0" fontId="7" fillId="27" borderId="11" xfId="63" applyFill="1" applyBorder="1" applyAlignment="1" applyProtection="1">
      <alignment horizontal="center"/>
      <protection locked="0"/>
    </xf>
    <xf numFmtId="9" fontId="7" fillId="27" borderId="11" xfId="63" applyNumberFormat="1" applyFill="1" applyBorder="1" applyAlignment="1" applyProtection="1">
      <alignment horizontal="right"/>
      <protection locked="0"/>
    </xf>
    <xf numFmtId="6" fontId="9" fillId="30" borderId="31" xfId="0" applyNumberFormat="1" applyFont="1" applyFill="1" applyBorder="1" applyAlignment="1">
      <alignment horizontal="center" vertical="center"/>
    </xf>
    <xf numFmtId="164" fontId="9" fillId="30" borderId="24" xfId="28" applyNumberFormat="1" applyFont="1" applyFill="1" applyBorder="1" applyAlignment="1">
      <alignment horizontal="center" vertical="center"/>
    </xf>
    <xf numFmtId="0" fontId="9" fillId="34" borderId="23" xfId="0" applyFont="1" applyFill="1" applyBorder="1"/>
    <xf numFmtId="6" fontId="9" fillId="34" borderId="31" xfId="0" applyNumberFormat="1" applyFont="1" applyFill="1" applyBorder="1" applyAlignment="1">
      <alignment horizontal="center" vertical="center"/>
    </xf>
    <xf numFmtId="6" fontId="9" fillId="34" borderId="24" xfId="0" applyNumberFormat="1" applyFont="1" applyFill="1" applyBorder="1" applyAlignment="1">
      <alignment horizontal="center" vertical="center"/>
    </xf>
    <xf numFmtId="0" fontId="9" fillId="30" borderId="50" xfId="0" applyFont="1" applyFill="1" applyBorder="1"/>
    <xf numFmtId="0" fontId="45" fillId="29" borderId="0" xfId="0" applyFont="1" applyFill="1"/>
    <xf numFmtId="0" fontId="0" fillId="29" borderId="0" xfId="0" applyFill="1"/>
    <xf numFmtId="0" fontId="48" fillId="29" borderId="0" xfId="0" applyFont="1" applyFill="1"/>
    <xf numFmtId="0" fontId="36" fillId="29" borderId="0" xfId="0" applyFont="1" applyFill="1"/>
    <xf numFmtId="0" fontId="34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34" fillId="29" borderId="0" xfId="0" applyFont="1" applyFill="1" applyAlignment="1">
      <alignment horizontal="left"/>
    </xf>
    <xf numFmtId="20" fontId="7" fillId="29" borderId="0" xfId="0" quotePrefix="1" applyNumberFormat="1" applyFont="1" applyFill="1" applyAlignment="1">
      <alignment vertical="top" wrapText="1"/>
    </xf>
    <xf numFmtId="20" fontId="7" fillId="29" borderId="0" xfId="0" quotePrefix="1" applyNumberFormat="1" applyFont="1" applyFill="1" applyAlignment="1">
      <alignment horizontal="right"/>
    </xf>
    <xf numFmtId="20" fontId="0" fillId="29" borderId="0" xfId="0" quotePrefix="1" applyNumberFormat="1" applyFill="1" applyAlignment="1">
      <alignment horizontal="right"/>
    </xf>
    <xf numFmtId="0" fontId="7" fillId="29" borderId="0" xfId="0" applyFont="1" applyFill="1"/>
    <xf numFmtId="44" fontId="0" fillId="29" borderId="0" xfId="28" applyFont="1" applyFill="1"/>
    <xf numFmtId="44" fontId="0" fillId="29" borderId="0" xfId="0" applyNumberFormat="1" applyFill="1"/>
    <xf numFmtId="12" fontId="0" fillId="29" borderId="0" xfId="28" applyNumberFormat="1" applyFont="1" applyFill="1"/>
    <xf numFmtId="44" fontId="7" fillId="29" borderId="0" xfId="28" applyFont="1" applyFill="1"/>
    <xf numFmtId="10" fontId="0" fillId="29" borderId="0" xfId="0" applyNumberFormat="1" applyFill="1"/>
    <xf numFmtId="6" fontId="0" fillId="29" borderId="0" xfId="67" applyNumberFormat="1" applyFont="1" applyFill="1"/>
    <xf numFmtId="10" fontId="0" fillId="29" borderId="0" xfId="44" applyNumberFormat="1" applyFont="1" applyFill="1"/>
    <xf numFmtId="167" fontId="0" fillId="29" borderId="0" xfId="28" applyNumberFormat="1" applyFont="1" applyFill="1"/>
    <xf numFmtId="6" fontId="0" fillId="29" borderId="0" xfId="0" applyNumberFormat="1" applyFill="1"/>
    <xf numFmtId="169" fontId="0" fillId="29" borderId="0" xfId="0" applyNumberFormat="1" applyFill="1"/>
    <xf numFmtId="43" fontId="0" fillId="29" borderId="0" xfId="67" applyFont="1" applyFill="1"/>
    <xf numFmtId="170" fontId="0" fillId="29" borderId="0" xfId="28" applyNumberFormat="1" applyFont="1" applyFill="1"/>
    <xf numFmtId="14" fontId="0" fillId="0" borderId="24" xfId="0" applyNumberFormat="1" applyBorder="1" applyAlignment="1">
      <alignment horizontal="left"/>
    </xf>
    <xf numFmtId="0" fontId="36" fillId="0" borderId="20" xfId="0" applyFont="1" applyBorder="1"/>
    <xf numFmtId="0" fontId="9" fillId="0" borderId="0" xfId="0" applyFont="1" applyAlignment="1">
      <alignment horizontal="center" vertical="center"/>
    </xf>
    <xf numFmtId="0" fontId="10" fillId="0" borderId="20" xfId="0" applyFont="1" applyBorder="1"/>
    <xf numFmtId="0" fontId="9" fillId="0" borderId="20" xfId="0" applyFont="1" applyBorder="1"/>
    <xf numFmtId="0" fontId="54" fillId="0" borderId="20" xfId="0" applyFont="1" applyBorder="1" applyProtection="1">
      <protection hidden="1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20" xfId="0" applyFont="1" applyBorder="1"/>
    <xf numFmtId="0" fontId="92" fillId="0" borderId="0" xfId="0" applyFont="1"/>
    <xf numFmtId="0" fontId="10" fillId="0" borderId="0" xfId="0" applyFont="1" applyAlignment="1">
      <alignment horizontal="left" vertical="top"/>
    </xf>
    <xf numFmtId="6" fontId="0" fillId="0" borderId="0" xfId="0" applyNumberFormat="1" applyAlignment="1">
      <alignment horizontal="center" vertical="center"/>
    </xf>
    <xf numFmtId="0" fontId="9" fillId="0" borderId="31" xfId="0" applyFont="1" applyBorder="1"/>
    <xf numFmtId="0" fontId="7" fillId="0" borderId="31" xfId="63" applyBorder="1"/>
    <xf numFmtId="0" fontId="45" fillId="0" borderId="31" xfId="0" applyFont="1" applyBorder="1"/>
    <xf numFmtId="0" fontId="7" fillId="0" borderId="19" xfId="63" applyBorder="1"/>
    <xf numFmtId="0" fontId="48" fillId="29" borderId="0" xfId="63" applyFont="1" applyFill="1"/>
    <xf numFmtId="0" fontId="7" fillId="29" borderId="0" xfId="63" applyFill="1"/>
    <xf numFmtId="0" fontId="34" fillId="29" borderId="0" xfId="63" applyFont="1" applyFill="1" applyAlignment="1">
      <alignment horizontal="left"/>
    </xf>
    <xf numFmtId="0" fontId="53" fillId="0" borderId="23" xfId="63" applyFont="1" applyBorder="1"/>
    <xf numFmtId="0" fontId="54" fillId="40" borderId="19" xfId="63" applyFont="1" applyFill="1" applyBorder="1" applyAlignment="1">
      <alignment horizontal="left" vertical="center"/>
    </xf>
    <xf numFmtId="0" fontId="42" fillId="27" borderId="19" xfId="63" applyFont="1" applyFill="1" applyBorder="1"/>
    <xf numFmtId="0" fontId="9" fillId="25" borderId="19" xfId="63" applyFont="1" applyFill="1" applyBorder="1"/>
    <xf numFmtId="0" fontId="7" fillId="0" borderId="19" xfId="63" applyBorder="1" applyAlignment="1">
      <alignment wrapText="1"/>
    </xf>
    <xf numFmtId="0" fontId="9" fillId="25" borderId="19" xfId="0" applyFont="1" applyFill="1" applyBorder="1"/>
    <xf numFmtId="0" fontId="7" fillId="0" borderId="19" xfId="0" applyFont="1" applyBorder="1" applyAlignment="1">
      <alignment horizontal="right"/>
    </xf>
    <xf numFmtId="0" fontId="9" fillId="26" borderId="19" xfId="63" applyFont="1" applyFill="1" applyBorder="1" applyAlignment="1">
      <alignment horizontal="left"/>
    </xf>
    <xf numFmtId="0" fontId="9" fillId="0" borderId="19" xfId="63" applyFont="1" applyBorder="1" applyAlignment="1">
      <alignment horizontal="left"/>
    </xf>
    <xf numFmtId="0" fontId="9" fillId="26" borderId="19" xfId="0" applyFont="1" applyFill="1" applyBorder="1" applyAlignment="1">
      <alignment horizontal="left"/>
    </xf>
    <xf numFmtId="0" fontId="40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/>
    <xf numFmtId="0" fontId="9" fillId="0" borderId="19" xfId="0" applyFont="1" applyBorder="1"/>
    <xf numFmtId="9" fontId="7" fillId="0" borderId="19" xfId="0" applyNumberFormat="1" applyFont="1" applyBorder="1" applyAlignment="1">
      <alignment horizontal="left"/>
    </xf>
    <xf numFmtId="0" fontId="9" fillId="0" borderId="53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3" xfId="0" applyFont="1" applyBorder="1"/>
    <xf numFmtId="0" fontId="10" fillId="0" borderId="21" xfId="0" applyFont="1" applyBorder="1"/>
    <xf numFmtId="0" fontId="0" fillId="29" borderId="20" xfId="0" applyFill="1" applyBorder="1"/>
    <xf numFmtId="6" fontId="0" fillId="34" borderId="0" xfId="0" applyNumberFormat="1" applyFill="1" applyAlignment="1">
      <alignment horizontal="center" vertical="center"/>
    </xf>
    <xf numFmtId="0" fontId="0" fillId="38" borderId="24" xfId="0" applyFill="1" applyBorder="1"/>
    <xf numFmtId="0" fontId="0" fillId="38" borderId="19" xfId="0" applyFill="1" applyBorder="1"/>
    <xf numFmtId="0" fontId="0" fillId="38" borderId="20" xfId="0" applyFill="1" applyBorder="1"/>
    <xf numFmtId="0" fontId="7" fillId="38" borderId="19" xfId="0" applyFont="1" applyFill="1" applyBorder="1"/>
    <xf numFmtId="0" fontId="7" fillId="38" borderId="21" xfId="0" applyFont="1" applyFill="1" applyBorder="1"/>
    <xf numFmtId="0" fontId="38" fillId="38" borderId="23" xfId="0" applyFont="1" applyFill="1" applyBorder="1"/>
    <xf numFmtId="0" fontId="9" fillId="38" borderId="19" xfId="0" applyFont="1" applyFill="1" applyBorder="1"/>
    <xf numFmtId="0" fontId="9" fillId="38" borderId="54" xfId="0" applyFont="1" applyFill="1" applyBorder="1"/>
    <xf numFmtId="0" fontId="0" fillId="38" borderId="39" xfId="0" applyFill="1" applyBorder="1"/>
    <xf numFmtId="164" fontId="7" fillId="0" borderId="0" xfId="0" quotePrefix="1" applyNumberFormat="1" applyFont="1"/>
    <xf numFmtId="0" fontId="7" fillId="38" borderId="19" xfId="0" applyFont="1" applyFill="1" applyBorder="1" applyAlignment="1">
      <alignment wrapText="1"/>
    </xf>
    <xf numFmtId="6" fontId="0" fillId="30" borderId="0" xfId="0" applyNumberFormat="1" applyFill="1" applyAlignment="1">
      <alignment horizontal="center" vertical="center"/>
    </xf>
    <xf numFmtId="0" fontId="7" fillId="38" borderId="54" xfId="0" applyFont="1" applyFill="1" applyBorder="1"/>
    <xf numFmtId="0" fontId="10" fillId="38" borderId="19" xfId="0" applyFont="1" applyFill="1" applyBorder="1"/>
    <xf numFmtId="0" fontId="10" fillId="38" borderId="21" xfId="0" applyFont="1" applyFill="1" applyBorder="1"/>
    <xf numFmtId="0" fontId="10" fillId="30" borderId="19" xfId="0" applyFont="1" applyFill="1" applyBorder="1"/>
    <xf numFmtId="0" fontId="10" fillId="30" borderId="21" xfId="0" applyFont="1" applyFill="1" applyBorder="1"/>
    <xf numFmtId="0" fontId="10" fillId="34" borderId="19" xfId="0" applyFont="1" applyFill="1" applyBorder="1"/>
    <xf numFmtId="0" fontId="10" fillId="34" borderId="21" xfId="0" applyFont="1" applyFill="1" applyBorder="1"/>
    <xf numFmtId="0" fontId="9" fillId="30" borderId="51" xfId="0" applyFont="1" applyFill="1" applyBorder="1" applyAlignment="1">
      <alignment horizontal="center" vertical="center" wrapText="1"/>
    </xf>
    <xf numFmtId="0" fontId="9" fillId="30" borderId="52" xfId="0" applyFont="1" applyFill="1" applyBorder="1" applyAlignment="1">
      <alignment horizontal="center" vertical="center" wrapText="1"/>
    </xf>
    <xf numFmtId="0" fontId="9" fillId="38" borderId="51" xfId="0" applyFont="1" applyFill="1" applyBorder="1" applyAlignment="1">
      <alignment horizontal="center" vertical="center" wrapText="1"/>
    </xf>
    <xf numFmtId="0" fontId="9" fillId="38" borderId="52" xfId="0" applyFont="1" applyFill="1" applyBorder="1" applyAlignment="1">
      <alignment horizontal="center" vertical="center" wrapText="1"/>
    </xf>
    <xf numFmtId="0" fontId="93" fillId="38" borderId="50" xfId="0" applyFont="1" applyFill="1" applyBorder="1" applyAlignment="1">
      <alignment horizontal="left" vertical="center" wrapText="1"/>
    </xf>
    <xf numFmtId="0" fontId="93" fillId="30" borderId="50" xfId="0" applyFont="1" applyFill="1" applyBorder="1" applyAlignment="1">
      <alignment horizontal="left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44" fontId="0" fillId="38" borderId="20" xfId="28" applyFont="1" applyFill="1" applyBorder="1"/>
    <xf numFmtId="44" fontId="9" fillId="38" borderId="39" xfId="28" applyFont="1" applyFill="1" applyBorder="1"/>
    <xf numFmtId="44" fontId="9" fillId="38" borderId="20" xfId="28" applyFont="1" applyFill="1" applyBorder="1"/>
    <xf numFmtId="0" fontId="86" fillId="0" borderId="19" xfId="0" applyFont="1" applyBorder="1"/>
    <xf numFmtId="0" fontId="7" fillId="0" borderId="20" xfId="63" applyBorder="1"/>
    <xf numFmtId="8" fontId="7" fillId="0" borderId="20" xfId="63" applyNumberFormat="1" applyBorder="1"/>
    <xf numFmtId="9" fontId="37" fillId="38" borderId="22" xfId="44" applyFont="1" applyFill="1" applyBorder="1"/>
    <xf numFmtId="167" fontId="93" fillId="38" borderId="20" xfId="28" applyNumberFormat="1" applyFont="1" applyFill="1" applyBorder="1" applyAlignment="1">
      <alignment horizontal="left" vertical="center"/>
    </xf>
    <xf numFmtId="0" fontId="7" fillId="38" borderId="24" xfId="0" applyFont="1" applyFill="1" applyBorder="1"/>
    <xf numFmtId="0" fontId="7" fillId="38" borderId="20" xfId="0" applyFont="1" applyFill="1" applyBorder="1"/>
    <xf numFmtId="167" fontId="7" fillId="38" borderId="20" xfId="28" applyNumberFormat="1" applyFont="1" applyFill="1" applyBorder="1"/>
    <xf numFmtId="167" fontId="7" fillId="38" borderId="39" xfId="28" applyNumberFormat="1" applyFont="1" applyFill="1" applyBorder="1"/>
    <xf numFmtId="167" fontId="10" fillId="38" borderId="20" xfId="28" applyNumberFormat="1" applyFont="1" applyFill="1" applyBorder="1"/>
    <xf numFmtId="167" fontId="9" fillId="38" borderId="39" xfId="28" applyNumberFormat="1" applyFont="1" applyFill="1" applyBorder="1"/>
    <xf numFmtId="0" fontId="10" fillId="38" borderId="55" xfId="0" applyFont="1" applyFill="1" applyBorder="1" applyAlignment="1">
      <alignment horizontal="left" wrapText="1"/>
    </xf>
    <xf numFmtId="0" fontId="7" fillId="38" borderId="19" xfId="0" applyFont="1" applyFill="1" applyBorder="1" applyAlignment="1">
      <alignment horizontal="left" wrapText="1"/>
    </xf>
    <xf numFmtId="6" fontId="7" fillId="38" borderId="20" xfId="0" applyNumberFormat="1" applyFont="1" applyFill="1" applyBorder="1"/>
    <xf numFmtId="0" fontId="9" fillId="38" borderId="19" xfId="0" applyFont="1" applyFill="1" applyBorder="1" applyAlignment="1">
      <alignment horizontal="left" vertical="top" wrapText="1"/>
    </xf>
    <xf numFmtId="167" fontId="9" fillId="38" borderId="20" xfId="28" applyNumberFormat="1" applyFont="1" applyFill="1" applyBorder="1" applyAlignment="1">
      <alignment horizontal="left" vertical="center"/>
    </xf>
    <xf numFmtId="9" fontId="7" fillId="38" borderId="22" xfId="44" applyFont="1" applyFill="1" applyBorder="1"/>
    <xf numFmtId="167" fontId="10" fillId="38" borderId="20" xfId="0" applyNumberFormat="1" applyFont="1" applyFill="1" applyBorder="1" applyAlignment="1">
      <alignment vertical="center"/>
    </xf>
    <xf numFmtId="167" fontId="9" fillId="38" borderId="39" xfId="0" applyNumberFormat="1" applyFont="1" applyFill="1" applyBorder="1"/>
    <xf numFmtId="43" fontId="7" fillId="38" borderId="20" xfId="0" applyNumberFormat="1" applyFont="1" applyFill="1" applyBorder="1" applyAlignment="1">
      <alignment horizontal="center"/>
    </xf>
    <xf numFmtId="6" fontId="7" fillId="38" borderId="0" xfId="63" applyNumberFormat="1" applyFill="1" applyAlignment="1">
      <alignment horizontal="center"/>
    </xf>
    <xf numFmtId="0" fontId="9" fillId="38" borderId="50" xfId="63" applyFont="1" applyFill="1" applyBorder="1" applyAlignment="1">
      <alignment horizontal="left"/>
    </xf>
    <xf numFmtId="0" fontId="9" fillId="38" borderId="51" xfId="63" applyFont="1" applyFill="1" applyBorder="1"/>
    <xf numFmtId="0" fontId="9" fillId="38" borderId="52" xfId="63" applyFont="1" applyFill="1" applyBorder="1"/>
    <xf numFmtId="0" fontId="7" fillId="40" borderId="0" xfId="63" applyFill="1"/>
    <xf numFmtId="0" fontId="36" fillId="0" borderId="0" xfId="63" applyFont="1"/>
    <xf numFmtId="0" fontId="34" fillId="0" borderId="0" xfId="63" applyFont="1" applyAlignment="1">
      <alignment horizontal="right"/>
    </xf>
    <xf numFmtId="0" fontId="34" fillId="0" borderId="0" xfId="63" applyFont="1" applyAlignment="1">
      <alignment horizontal="left"/>
    </xf>
    <xf numFmtId="20" fontId="7" fillId="0" borderId="0" xfId="63" quotePrefix="1" applyNumberFormat="1" applyAlignment="1">
      <alignment horizontal="right"/>
    </xf>
    <xf numFmtId="0" fontId="55" fillId="0" borderId="0" xfId="60" applyFont="1" applyAlignment="1">
      <alignment vertical="top"/>
    </xf>
    <xf numFmtId="16" fontId="55" fillId="0" borderId="0" xfId="60" quotePrefix="1" applyNumberFormat="1" applyFont="1" applyAlignment="1">
      <alignment vertical="top"/>
    </xf>
    <xf numFmtId="0" fontId="54" fillId="0" borderId="0" xfId="0" applyFont="1"/>
    <xf numFmtId="0" fontId="34" fillId="0" borderId="0" xfId="63" applyFont="1"/>
    <xf numFmtId="0" fontId="48" fillId="0" borderId="0" xfId="0" applyFont="1"/>
    <xf numFmtId="6" fontId="0" fillId="0" borderId="0" xfId="0" applyNumberFormat="1" applyAlignment="1">
      <alignment horizontal="left" vertical="top"/>
    </xf>
    <xf numFmtId="0" fontId="48" fillId="0" borderId="20" xfId="63" applyFont="1" applyBorder="1"/>
    <xf numFmtId="0" fontId="34" fillId="0" borderId="20" xfId="63" applyFont="1" applyBorder="1" applyAlignment="1">
      <alignment horizontal="right"/>
    </xf>
    <xf numFmtId="0" fontId="45" fillId="0" borderId="20" xfId="63" applyFont="1" applyBorder="1"/>
    <xf numFmtId="0" fontId="7" fillId="0" borderId="22" xfId="63" applyBorder="1"/>
    <xf numFmtId="0" fontId="9" fillId="45" borderId="50" xfId="63" applyFont="1" applyFill="1" applyBorder="1" applyAlignment="1">
      <alignment horizontal="left"/>
    </xf>
    <xf numFmtId="0" fontId="9" fillId="45" borderId="51" xfId="63" applyFont="1" applyFill="1" applyBorder="1" applyAlignment="1">
      <alignment horizontal="center"/>
    </xf>
    <xf numFmtId="0" fontId="9" fillId="45" borderId="52" xfId="63" applyFont="1" applyFill="1" applyBorder="1" applyAlignment="1">
      <alignment horizontal="center"/>
    </xf>
    <xf numFmtId="0" fontId="7" fillId="45" borderId="19" xfId="63" applyFill="1" applyBorder="1" applyAlignment="1">
      <alignment horizontal="left" vertical="center"/>
    </xf>
    <xf numFmtId="6" fontId="7" fillId="45" borderId="0" xfId="63" applyNumberFormat="1" applyFill="1" applyAlignment="1">
      <alignment horizontal="center" vertical="center"/>
    </xf>
    <xf numFmtId="6" fontId="7" fillId="45" borderId="20" xfId="63" applyNumberFormat="1" applyFill="1" applyBorder="1" applyAlignment="1">
      <alignment horizontal="center" vertical="center"/>
    </xf>
    <xf numFmtId="0" fontId="7" fillId="45" borderId="21" xfId="63" applyFill="1" applyBorder="1" applyAlignment="1">
      <alignment horizontal="left" vertical="center"/>
    </xf>
    <xf numFmtId="6" fontId="7" fillId="45" borderId="32" xfId="63" applyNumberFormat="1" applyFill="1" applyBorder="1" applyAlignment="1">
      <alignment horizontal="center" vertical="center"/>
    </xf>
    <xf numFmtId="6" fontId="7" fillId="45" borderId="22" xfId="63" applyNumberForma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4" xfId="0" applyFont="1" applyBorder="1" applyAlignment="1">
      <alignment horizontal="center" vertical="center"/>
    </xf>
    <xf numFmtId="164" fontId="45" fillId="0" borderId="21" xfId="28" applyNumberFormat="1" applyFont="1" applyFill="1" applyBorder="1" applyAlignment="1" applyProtection="1">
      <protection locked="0"/>
    </xf>
    <xf numFmtId="44" fontId="45" fillId="0" borderId="32" xfId="28" applyFont="1" applyFill="1" applyBorder="1" applyAlignment="1" applyProtection="1">
      <protection locked="0"/>
    </xf>
    <xf numFmtId="44" fontId="45" fillId="0" borderId="22" xfId="28" applyFont="1" applyFill="1" applyBorder="1" applyAlignment="1" applyProtection="1">
      <protection locked="0"/>
    </xf>
    <xf numFmtId="0" fontId="92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167" fontId="45" fillId="0" borderId="0" xfId="28" applyNumberFormat="1" applyFont="1" applyFill="1" applyBorder="1" applyAlignment="1" applyProtection="1">
      <protection locked="0"/>
    </xf>
    <xf numFmtId="0" fontId="94" fillId="0" borderId="33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47" fillId="27" borderId="57" xfId="0" applyFont="1" applyFill="1" applyBorder="1" applyAlignment="1" applyProtection="1">
      <alignment vertical="center"/>
      <protection locked="0"/>
    </xf>
    <xf numFmtId="166" fontId="0" fillId="38" borderId="20" xfId="0" applyNumberFormat="1" applyFill="1" applyBorder="1"/>
    <xf numFmtId="167" fontId="0" fillId="38" borderId="20" xfId="28" applyNumberFormat="1" applyFont="1" applyFill="1" applyBorder="1"/>
    <xf numFmtId="167" fontId="0" fillId="38" borderId="20" xfId="28" applyNumberFormat="1" applyFont="1" applyFill="1" applyBorder="1" applyAlignment="1">
      <alignment vertical="center"/>
    </xf>
    <xf numFmtId="165" fontId="0" fillId="30" borderId="20" xfId="28" applyNumberFormat="1" applyFont="1" applyFill="1" applyBorder="1" applyAlignment="1">
      <alignment horizontal="center" vertical="center"/>
    </xf>
    <xf numFmtId="165" fontId="0" fillId="30" borderId="22" xfId="28" applyNumberFormat="1" applyFont="1" applyFill="1" applyBorder="1" applyAlignment="1">
      <alignment horizontal="center" vertical="center"/>
    </xf>
    <xf numFmtId="0" fontId="45" fillId="0" borderId="24" xfId="63" applyFont="1" applyBorder="1"/>
    <xf numFmtId="0" fontId="42" fillId="27" borderId="56" xfId="0" applyFont="1" applyFill="1" applyBorder="1" applyAlignment="1" applyProtection="1">
      <alignment vertical="center"/>
      <protection locked="0"/>
    </xf>
    <xf numFmtId="0" fontId="9" fillId="0" borderId="56" xfId="63" applyFont="1" applyBorder="1"/>
    <xf numFmtId="0" fontId="9" fillId="0" borderId="0" xfId="63" applyFont="1" applyAlignment="1">
      <alignment horizontal="center"/>
    </xf>
    <xf numFmtId="0" fontId="0" fillId="29" borderId="32" xfId="0" applyFill="1" applyBorder="1"/>
    <xf numFmtId="0" fontId="7" fillId="0" borderId="0" xfId="0" quotePrefix="1" applyFont="1" applyAlignment="1">
      <alignment horizontal="left" wrapText="1"/>
    </xf>
    <xf numFmtId="0" fontId="9" fillId="0" borderId="12" xfId="63" applyFont="1" applyBorder="1" applyAlignment="1">
      <alignment horizontal="right"/>
    </xf>
    <xf numFmtId="165" fontId="10" fillId="0" borderId="19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0" fontId="7" fillId="38" borderId="0" xfId="63" applyFill="1" applyAlignment="1">
      <alignment horizontal="center"/>
    </xf>
    <xf numFmtId="0" fontId="45" fillId="0" borderId="0" xfId="0" applyFont="1" applyBorder="1"/>
    <xf numFmtId="0" fontId="45" fillId="0" borderId="0" xfId="0" applyFont="1" applyFill="1" applyBorder="1"/>
    <xf numFmtId="0" fontId="45" fillId="29" borderId="0" xfId="0" applyFont="1" applyFill="1" applyBorder="1"/>
    <xf numFmtId="44" fontId="0" fillId="0" borderId="20" xfId="28" applyFont="1" applyFill="1" applyBorder="1"/>
    <xf numFmtId="0" fontId="0" fillId="0" borderId="20" xfId="0" applyFill="1" applyBorder="1"/>
    <xf numFmtId="0" fontId="98" fillId="34" borderId="50" xfId="0" applyFont="1" applyFill="1" applyBorder="1" applyAlignment="1">
      <alignment vertical="center" wrapText="1"/>
    </xf>
    <xf numFmtId="0" fontId="99" fillId="34" borderId="51" xfId="0" applyFont="1" applyFill="1" applyBorder="1" applyAlignment="1">
      <alignment horizontal="center" vertical="center" wrapText="1"/>
    </xf>
    <xf numFmtId="0" fontId="53" fillId="0" borderId="23" xfId="0" applyFont="1" applyBorder="1"/>
    <xf numFmtId="0" fontId="54" fillId="41" borderId="19" xfId="63" applyFont="1" applyFill="1" applyBorder="1" applyAlignment="1">
      <alignment horizontal="left" vertical="center"/>
    </xf>
    <xf numFmtId="0" fontId="0" fillId="0" borderId="0" xfId="0" applyBorder="1"/>
    <xf numFmtId="0" fontId="54" fillId="0" borderId="0" xfId="0" applyFont="1" applyBorder="1"/>
    <xf numFmtId="0" fontId="54" fillId="0" borderId="0" xfId="0" applyFont="1" applyBorder="1" applyAlignment="1">
      <alignment vertical="center"/>
    </xf>
    <xf numFmtId="0" fontId="7" fillId="0" borderId="0" xfId="0" applyFont="1" applyBorder="1"/>
    <xf numFmtId="0" fontId="42" fillId="27" borderId="19" xfId="0" applyFont="1" applyFill="1" applyBorder="1"/>
    <xf numFmtId="0" fontId="36" fillId="0" borderId="0" xfId="0" applyFont="1" applyBorder="1"/>
    <xf numFmtId="0" fontId="9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96" fillId="0" borderId="0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9" fillId="0" borderId="19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45" fillId="0" borderId="0" xfId="0" applyFont="1" applyBorder="1" applyProtection="1">
      <protection hidden="1"/>
    </xf>
    <xf numFmtId="0" fontId="54" fillId="0" borderId="0" xfId="0" applyFont="1" applyBorder="1" applyProtection="1">
      <protection hidden="1"/>
    </xf>
    <xf numFmtId="0" fontId="97" fillId="0" borderId="0" xfId="0" applyFont="1" applyBorder="1"/>
    <xf numFmtId="0" fontId="10" fillId="0" borderId="0" xfId="0" applyFont="1" applyBorder="1"/>
    <xf numFmtId="0" fontId="9" fillId="0" borderId="19" xfId="0" applyFont="1" applyBorder="1" applyAlignment="1">
      <alignment horizontal="left"/>
    </xf>
    <xf numFmtId="0" fontId="45" fillId="0" borderId="0" xfId="0" applyFont="1" applyBorder="1" applyAlignment="1">
      <alignment horizontal="center"/>
    </xf>
    <xf numFmtId="0" fontId="95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92" fillId="0" borderId="0" xfId="0" applyFont="1" applyBorder="1" applyAlignment="1">
      <alignment vertical="center"/>
    </xf>
    <xf numFmtId="44" fontId="0" fillId="0" borderId="0" xfId="0" applyNumberFormat="1" applyBorder="1"/>
    <xf numFmtId="0" fontId="92" fillId="0" borderId="0" xfId="0" applyFont="1" applyBorder="1"/>
    <xf numFmtId="0" fontId="34" fillId="26" borderId="19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top"/>
    </xf>
    <xf numFmtId="6" fontId="0" fillId="0" borderId="0" xfId="0" applyNumberFormat="1" applyBorder="1"/>
    <xf numFmtId="6" fontId="0" fillId="0" borderId="0" xfId="0" applyNumberFormat="1" applyBorder="1" applyAlignment="1">
      <alignment horizontal="left"/>
    </xf>
    <xf numFmtId="6" fontId="9" fillId="0" borderId="0" xfId="0" applyNumberFormat="1" applyFont="1" applyBorder="1"/>
    <xf numFmtId="0" fontId="0" fillId="0" borderId="0" xfId="0" applyFill="1" applyBorder="1"/>
    <xf numFmtId="0" fontId="7" fillId="0" borderId="0" xfId="0" applyFont="1" applyBorder="1" applyAlignment="1">
      <alignment horizontal="right"/>
    </xf>
    <xf numFmtId="6" fontId="0" fillId="0" borderId="0" xfId="0" applyNumberFormat="1" applyFill="1" applyBorder="1" applyAlignment="1">
      <alignment horizontal="left"/>
    </xf>
    <xf numFmtId="6" fontId="0" fillId="38" borderId="0" xfId="0" applyNumberFormat="1" applyFill="1" applyBorder="1" applyAlignment="1">
      <alignment horizontal="center" vertical="center"/>
    </xf>
    <xf numFmtId="6" fontId="0" fillId="30" borderId="0" xfId="0" applyNumberFormat="1" applyFill="1" applyBorder="1" applyAlignment="1">
      <alignment horizontal="center" vertical="center"/>
    </xf>
    <xf numFmtId="6" fontId="0" fillId="34" borderId="0" xfId="0" applyNumberFormat="1" applyFill="1" applyBorder="1" applyAlignment="1">
      <alignment horizontal="center" vertical="center"/>
    </xf>
    <xf numFmtId="0" fontId="7" fillId="29" borderId="23" xfId="0" applyFont="1" applyFill="1" applyBorder="1"/>
    <xf numFmtId="0" fontId="7" fillId="29" borderId="31" xfId="0" applyFont="1" applyFill="1" applyBorder="1"/>
    <xf numFmtId="0" fontId="0" fillId="29" borderId="31" xfId="0" applyFill="1" applyBorder="1"/>
    <xf numFmtId="0" fontId="10" fillId="29" borderId="31" xfId="0" applyFont="1" applyFill="1" applyBorder="1"/>
    <xf numFmtId="6" fontId="0" fillId="29" borderId="31" xfId="0" applyNumberFormat="1" applyFill="1" applyBorder="1" applyAlignment="1">
      <alignment horizontal="left"/>
    </xf>
    <xf numFmtId="0" fontId="0" fillId="29" borderId="24" xfId="0" applyFill="1" applyBorder="1"/>
    <xf numFmtId="0" fontId="7" fillId="29" borderId="19" xfId="0" applyFont="1" applyFill="1" applyBorder="1"/>
    <xf numFmtId="0" fontId="7" fillId="29" borderId="0" xfId="0" applyFont="1" applyFill="1" applyBorder="1"/>
    <xf numFmtId="0" fontId="0" fillId="29" borderId="0" xfId="0" applyFill="1" applyBorder="1"/>
    <xf numFmtId="0" fontId="10" fillId="29" borderId="0" xfId="0" applyFont="1" applyFill="1" applyBorder="1"/>
    <xf numFmtId="6" fontId="0" fillId="29" borderId="0" xfId="0" applyNumberFormat="1" applyFill="1" applyBorder="1" applyAlignment="1">
      <alignment horizontal="left"/>
    </xf>
    <xf numFmtId="165" fontId="0" fillId="29" borderId="0" xfId="0" applyNumberFormat="1" applyFill="1" applyBorder="1"/>
    <xf numFmtId="0" fontId="0" fillId="29" borderId="22" xfId="0" applyFill="1" applyBorder="1"/>
    <xf numFmtId="0" fontId="10" fillId="29" borderId="21" xfId="0" applyFont="1" applyFill="1" applyBorder="1"/>
    <xf numFmtId="0" fontId="9" fillId="0" borderId="0" xfId="0" applyFont="1" applyBorder="1" applyAlignment="1">
      <alignment wrapText="1"/>
    </xf>
    <xf numFmtId="0" fontId="7" fillId="0" borderId="11" xfId="0" applyFont="1" applyBorder="1" applyAlignment="1" applyProtection="1">
      <alignment horizontal="center" vertical="center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EDF1"/>
      <color rgb="FFFF66CC"/>
      <color rgb="FFFF99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Delaware/DE%20FCC%20Hom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G1" t="str">
            <v>Star1</v>
          </cell>
        </row>
        <row r="2">
          <cell r="G2" t="str">
            <v>Urban</v>
          </cell>
        </row>
        <row r="14">
          <cell r="E14">
            <v>0.85</v>
          </cell>
        </row>
        <row r="15">
          <cell r="E15">
            <v>0.03</v>
          </cell>
        </row>
        <row r="18">
          <cell r="D18" t="str">
            <v>No</v>
          </cell>
        </row>
        <row r="19">
          <cell r="D19" t="str">
            <v>No</v>
          </cell>
        </row>
        <row r="20">
          <cell r="D20" t="str">
            <v>No</v>
          </cell>
        </row>
        <row r="21">
          <cell r="D21" t="str">
            <v>No</v>
          </cell>
        </row>
        <row r="23">
          <cell r="D23">
            <v>16</v>
          </cell>
        </row>
        <row r="25">
          <cell r="D25" t="str">
            <v>Yes</v>
          </cell>
        </row>
        <row r="26">
          <cell r="D26">
            <v>10</v>
          </cell>
        </row>
        <row r="27">
          <cell r="D27">
            <v>10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9">
          <cell r="A9">
            <v>20</v>
          </cell>
          <cell r="F9">
            <v>1</v>
          </cell>
        </row>
        <row r="10">
          <cell r="A10">
            <v>25</v>
          </cell>
          <cell r="F10">
            <v>1</v>
          </cell>
        </row>
        <row r="11">
          <cell r="A11">
            <v>25</v>
          </cell>
          <cell r="F11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69888.600000000006</v>
          </cell>
        </row>
        <row r="23">
          <cell r="D23">
            <v>130010</v>
          </cell>
        </row>
        <row r="24">
          <cell r="D24">
            <v>117095</v>
          </cell>
        </row>
        <row r="25">
          <cell r="D25">
            <v>41998.073333333334</v>
          </cell>
        </row>
        <row r="32">
          <cell r="D32">
            <v>15048.293333333333</v>
          </cell>
        </row>
        <row r="40">
          <cell r="D40">
            <v>37245.873050000002</v>
          </cell>
        </row>
        <row r="42">
          <cell r="C42">
            <v>4000</v>
          </cell>
          <cell r="D42">
            <v>57173.333333333328</v>
          </cell>
        </row>
        <row r="43">
          <cell r="D43">
            <v>468459.17304999998</v>
          </cell>
        </row>
        <row r="46">
          <cell r="D46">
            <v>127622.63291139241</v>
          </cell>
        </row>
        <row r="47">
          <cell r="D47">
            <v>47986.256708860754</v>
          </cell>
        </row>
        <row r="48">
          <cell r="D48">
            <v>108306.12658227848</v>
          </cell>
        </row>
        <row r="49">
          <cell r="D49">
            <v>283915.01620253164</v>
          </cell>
        </row>
        <row r="51">
          <cell r="D51">
            <v>22571.225677575949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F1" t="str">
            <v>Star1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169388.62712880364</v>
          </cell>
        </row>
        <row r="23">
          <cell r="D23">
            <v>232450</v>
          </cell>
        </row>
        <row r="24">
          <cell r="D24">
            <v>202067.00398434472</v>
          </cell>
        </row>
        <row r="25">
          <cell r="D25">
            <v>72474.698762384971</v>
          </cell>
        </row>
        <row r="32">
          <cell r="D32">
            <v>15048.293333333333</v>
          </cell>
        </row>
        <row r="40">
          <cell r="D40">
            <v>67943.878406322299</v>
          </cell>
        </row>
        <row r="42">
          <cell r="D42">
            <v>0</v>
          </cell>
        </row>
        <row r="46">
          <cell r="D46">
            <v>127622.63291139241</v>
          </cell>
        </row>
        <row r="47">
          <cell r="D47">
            <v>57583.50805063291</v>
          </cell>
        </row>
        <row r="48">
          <cell r="D48">
            <v>108306.12658227848</v>
          </cell>
        </row>
        <row r="49">
          <cell r="D49">
            <v>293512.26754430379</v>
          </cell>
        </row>
        <row r="51">
          <cell r="D51">
            <v>31586.543074784782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C113">
            <v>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FCC"/>
      <sheetName val="Quality Home Profile"/>
      <sheetName val="License-Exempt profile"/>
      <sheetName val="QualVar"/>
      <sheetName val="Nonpersonnel PCQC"/>
      <sheetName val="Wages"/>
      <sheetName val="Subsidy Rates"/>
      <sheetName val="Tuition Rates"/>
      <sheetName val="Fed CACFP"/>
    </sheetNames>
    <sheetDataSet>
      <sheetData sheetId="0"/>
      <sheetData sheetId="1">
        <row r="50">
          <cell r="D50">
            <v>0</v>
          </cell>
        </row>
        <row r="59">
          <cell r="D59">
            <v>4349.3061883928567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Workman" id="{B4DB8974-BCDB-AD4F-B7A0-A72F4B0538DA}" userId="Simon Workma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4" dT="2023-04-22T13:30:12.13" personId="{B4DB8974-BCDB-AD4F-B7A0-A72F4B0538DA}" id="{CE2465EC-44C7-0048-BDA5-21F9082CC7CB}">
    <text>Need to confirm if ECECD wants this included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2" dT="2021-10-27T19:01:56.50" personId="{B4DB8974-BCDB-AD4F-B7A0-A72F4B0538DA}" id="{09268A5D-75AF-9245-B49C-8446D7A35E87}">
    <text>it is used if you pick licensing/star 2 as quality level… for 12.10 it didnt matter because there was still a spread between 12.10 and data colletion salaries. but it is a problem for the $15 and $18 model</text>
  </threadedComment>
  <threadedComment ref="B52" dT="2021-10-27T19:03:51.98" personId="{B4DB8974-BCDB-AD4F-B7A0-A72F4B0538DA}" id="{7BE4F35E-7D38-2543-A3D2-97BF455823F6}" parentId="{09268A5D-75AF-9245-B49C-8446D7A35E87}">
    <text xml:space="preserve">my solution is to pay same at licensing/2 star and 2+/3 star. the alternative is to set the licensing as the min wage, and go up from there, but that will get our 5 star programs pretty high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bls.gov/oes/2020/may/oes_nm.htm" TargetMode="Externa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mececd.org/wp-content/uploads/2021/09/8.15.2-NMAC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wmexicokids.org/wp-content/uploads/2018-MRS-Report_June18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mexicoprek.org/wp-content/uploads/2020/04/PreK-Program-Rate-Schedule.REVISED.4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AJ359"/>
  <sheetViews>
    <sheetView tabSelected="1" zoomScaleNormal="100" workbookViewId="0">
      <selection activeCell="G8" sqref="G8"/>
    </sheetView>
  </sheetViews>
  <sheetFormatPr baseColWidth="10" defaultColWidth="8.83203125" defaultRowHeight="13"/>
  <cols>
    <col min="1" max="1" width="3.1640625" style="460" customWidth="1"/>
    <col min="2" max="2" width="27.6640625" customWidth="1"/>
    <col min="3" max="3" width="22" customWidth="1"/>
    <col min="4" max="4" width="20.6640625" customWidth="1"/>
    <col min="5" max="5" width="27.1640625" customWidth="1"/>
    <col min="6" max="6" width="19" customWidth="1"/>
    <col min="7" max="7" width="20.83203125" customWidth="1"/>
    <col min="8" max="8" width="22.33203125" customWidth="1"/>
    <col min="9" max="9" width="14" style="460" customWidth="1"/>
    <col min="10" max="10" width="14.5" style="460" customWidth="1"/>
    <col min="11" max="11" width="16.83203125" style="460" customWidth="1"/>
    <col min="12" max="12" width="11" style="460" customWidth="1"/>
    <col min="13" max="13" width="11.1640625" style="460" customWidth="1"/>
    <col min="14" max="36" width="8.83203125" style="460"/>
  </cols>
  <sheetData>
    <row r="1" spans="1:14" s="460" customFormat="1" ht="14" thickBot="1"/>
    <row r="2" spans="1:14" ht="18" customHeight="1">
      <c r="A2" s="520"/>
      <c r="B2" s="634" t="s">
        <v>463</v>
      </c>
      <c r="C2" s="427"/>
      <c r="D2" s="427"/>
      <c r="E2" s="427"/>
      <c r="F2" s="494" t="s">
        <v>464</v>
      </c>
      <c r="G2" s="611" t="s">
        <v>465</v>
      </c>
      <c r="H2" s="482"/>
      <c r="I2" s="629" t="s">
        <v>465</v>
      </c>
      <c r="J2" s="629" t="s">
        <v>466</v>
      </c>
      <c r="K2" s="629" t="s">
        <v>467</v>
      </c>
      <c r="L2" s="628" t="s">
        <v>468</v>
      </c>
      <c r="M2" s="459"/>
      <c r="N2" s="459"/>
    </row>
    <row r="3" spans="1:14" ht="22" customHeight="1">
      <c r="A3" s="520"/>
      <c r="B3" s="635" t="s">
        <v>469</v>
      </c>
      <c r="C3" s="636"/>
      <c r="D3" s="636"/>
      <c r="E3" s="636"/>
      <c r="F3" s="637" t="s">
        <v>5</v>
      </c>
      <c r="G3" s="638" t="s">
        <v>6</v>
      </c>
      <c r="H3" s="430"/>
      <c r="I3" s="459" t="s">
        <v>6</v>
      </c>
      <c r="J3" s="459"/>
      <c r="K3" s="459"/>
      <c r="L3" s="459"/>
      <c r="M3" s="459"/>
      <c r="N3" s="459"/>
    </row>
    <row r="4" spans="1:14" ht="8" customHeight="1">
      <c r="A4" s="520"/>
      <c r="B4" s="514"/>
      <c r="C4" s="636"/>
      <c r="D4" s="636"/>
      <c r="E4" s="636"/>
      <c r="F4" s="639"/>
      <c r="G4" s="639"/>
      <c r="H4" s="430"/>
      <c r="I4" s="461"/>
      <c r="J4" s="461"/>
      <c r="K4" s="461"/>
      <c r="L4" s="461"/>
      <c r="M4" s="461"/>
    </row>
    <row r="5" spans="1:14" ht="14">
      <c r="A5" s="520"/>
      <c r="B5" s="640" t="s">
        <v>470</v>
      </c>
      <c r="C5" s="641"/>
      <c r="D5" s="641"/>
      <c r="E5" s="641"/>
      <c r="F5" s="641"/>
      <c r="G5" s="641"/>
      <c r="H5" s="483"/>
      <c r="I5" s="462"/>
      <c r="J5" s="462"/>
    </row>
    <row r="6" spans="1:14">
      <c r="A6" s="520"/>
      <c r="B6" s="432"/>
      <c r="C6" s="636"/>
      <c r="D6" s="636"/>
      <c r="E6" s="636"/>
      <c r="F6" s="636"/>
      <c r="G6" s="636"/>
      <c r="H6" s="430"/>
      <c r="I6" s="463"/>
      <c r="K6" s="464"/>
      <c r="L6" s="463"/>
      <c r="M6" s="465"/>
    </row>
    <row r="7" spans="1:14">
      <c r="A7" s="520"/>
      <c r="B7" s="506" t="s">
        <v>471</v>
      </c>
      <c r="C7" s="642" t="s">
        <v>472</v>
      </c>
      <c r="D7" s="643" t="s">
        <v>473</v>
      </c>
      <c r="E7" s="643" t="s">
        <v>474</v>
      </c>
      <c r="F7" s="644" t="s">
        <v>475</v>
      </c>
      <c r="G7" s="643" t="s">
        <v>476</v>
      </c>
      <c r="H7" s="485"/>
      <c r="I7" s="463"/>
      <c r="L7" s="463"/>
    </row>
    <row r="8" spans="1:14" ht="12.75" customHeight="1">
      <c r="A8" s="520"/>
      <c r="B8" s="645"/>
      <c r="C8" s="646">
        <f>G8*F8</f>
        <v>12</v>
      </c>
      <c r="D8" s="647" t="s">
        <v>477</v>
      </c>
      <c r="E8" s="648">
        <f>IF($G$2=$I$2,Ratios!B3,IF($G$2=$J$2,Ratios!C3,IF($G$2=$K$2,Ratios!D3,IF($G$2=$L$2,Ratios!E3,))))</f>
        <v>6</v>
      </c>
      <c r="F8" s="648">
        <f>IF($G$2=I$2,Ratios!B10,IF($G$2=J$2,Ratios!C10,IF($G$2=K$2,Ratios!D10,IF($G$2=L$2,Ratios!E10,))))</f>
        <v>12</v>
      </c>
      <c r="G8" s="88">
        <v>1</v>
      </c>
      <c r="H8" s="430"/>
      <c r="I8" s="466"/>
      <c r="J8" s="466"/>
      <c r="L8" s="467"/>
      <c r="M8" s="468"/>
    </row>
    <row r="9" spans="1:14" ht="12.75" customHeight="1">
      <c r="A9" s="520"/>
      <c r="B9" s="645"/>
      <c r="C9" s="646">
        <f t="shared" ref="C9:C12" si="0">G9*F9</f>
        <v>20</v>
      </c>
      <c r="D9" s="649" t="s">
        <v>478</v>
      </c>
      <c r="E9" s="648">
        <f>IF($G$2=$I$2,Ratios!B4,IF($G$2=$J$2,Ratios!C4,IF($G$2=$K$2,Ratios!D4,IF($G$2=$L$2,Ratios!E4,))))</f>
        <v>10</v>
      </c>
      <c r="F9" s="648">
        <f>IF($G$2=I$2,Ratios!B11,IF($G$2=J$2,Ratios!C11,IF($G$2=K$2,Ratios!D11,IF($G$2=L$2,Ratios!E11,))))</f>
        <v>20</v>
      </c>
      <c r="G9" s="89">
        <v>1</v>
      </c>
      <c r="H9" s="430"/>
      <c r="I9" s="466"/>
      <c r="J9" s="466"/>
      <c r="L9" s="467"/>
      <c r="M9" s="468"/>
    </row>
    <row r="10" spans="1:14" ht="12.75" customHeight="1">
      <c r="A10" s="520"/>
      <c r="B10" s="650"/>
      <c r="C10" s="646">
        <f t="shared" si="0"/>
        <v>24</v>
      </c>
      <c r="D10" s="647" t="s">
        <v>479</v>
      </c>
      <c r="E10" s="648">
        <f>IF($G$2=$I$2,Ratios!B5,IF($G$2=$J$2,Ratios!C5,IF($G$2=$K$2,Ratios!D5,IF($G$2=$L$2,Ratios!E5,))))</f>
        <v>12</v>
      </c>
      <c r="F10" s="648">
        <f>IF($G$2=I$2,Ratios!B12,IF($G$2=J$2,Ratios!C12,IF($G$2=K$2,Ratios!D12,IF($G$2=L$2,Ratios!E12,))))</f>
        <v>24</v>
      </c>
      <c r="G10" s="89">
        <v>1</v>
      </c>
      <c r="H10" s="430"/>
      <c r="I10" s="466"/>
      <c r="J10" s="466"/>
      <c r="L10" s="467"/>
      <c r="M10" s="468"/>
    </row>
    <row r="11" spans="1:14" ht="12.75" customHeight="1">
      <c r="A11" s="520"/>
      <c r="B11" s="432"/>
      <c r="C11" s="646">
        <f t="shared" si="0"/>
        <v>24</v>
      </c>
      <c r="D11" s="649" t="s">
        <v>480</v>
      </c>
      <c r="E11" s="648">
        <f>IF($G$2=$I$2,Ratios!B6,IF($G$2=$J$2,Ratios!C6,IF($G$2=$K$2,Ratios!D6,IF($G$2=$L$2,Ratios!E6,))))</f>
        <v>12</v>
      </c>
      <c r="F11" s="648">
        <f>IF($G$2=I$2,Ratios!B13,IF($G$2=J$2,Ratios!C13,IF($G$2=K$2,Ratios!D13,IF($G$2=L$2,Ratios!E13,))))</f>
        <v>24</v>
      </c>
      <c r="G11" s="89">
        <v>1</v>
      </c>
      <c r="H11" s="430"/>
      <c r="J11" s="469"/>
    </row>
    <row r="12" spans="1:14" ht="12.75" customHeight="1">
      <c r="A12" s="520"/>
      <c r="B12" s="432"/>
      <c r="C12" s="646">
        <f t="shared" si="0"/>
        <v>30</v>
      </c>
      <c r="D12" s="647" t="s">
        <v>481</v>
      </c>
      <c r="E12" s="648">
        <f>IF($G$2=$I$2,Ratios!B7,IF($G$2=$J$2,Ratios!C7,IF($G$2=$K$2,Ratios!D7,IF($G$2=$L$2,Ratios!E7,))))</f>
        <v>15</v>
      </c>
      <c r="F12" s="648">
        <f>IF($G$2=I$2,Ratios!B14,IF($G$2=J$2,Ratios!C14,IF($G$2=K$2,Ratios!D14,IF($G$2=L$2,Ratios!E14,))))</f>
        <v>30</v>
      </c>
      <c r="G12" s="89">
        <v>1</v>
      </c>
      <c r="H12" s="430"/>
      <c r="J12" s="469"/>
    </row>
    <row r="13" spans="1:14" ht="12.75" customHeight="1">
      <c r="A13" s="520"/>
      <c r="B13" s="651" t="s">
        <v>11</v>
      </c>
      <c r="C13" s="652">
        <f>SUM(C8:C12)</f>
        <v>110</v>
      </c>
      <c r="D13" s="636"/>
      <c r="E13" s="636"/>
      <c r="F13" s="636"/>
      <c r="G13" s="653">
        <f>SUM(G8:G12)</f>
        <v>5</v>
      </c>
      <c r="H13" s="486" t="s">
        <v>482</v>
      </c>
      <c r="J13" s="469"/>
    </row>
    <row r="14" spans="1:14" ht="12.75" customHeight="1">
      <c r="A14" s="520"/>
      <c r="B14" s="651"/>
      <c r="C14" s="652"/>
      <c r="D14" s="636"/>
      <c r="E14" s="636"/>
      <c r="F14" s="636"/>
      <c r="G14" s="653"/>
      <c r="H14" s="486"/>
      <c r="J14" s="469"/>
    </row>
    <row r="15" spans="1:14" ht="12.75" hidden="1" customHeight="1">
      <c r="A15" s="520"/>
      <c r="B15" s="506" t="s">
        <v>12</v>
      </c>
      <c r="C15" s="652"/>
      <c r="D15" s="636"/>
      <c r="E15" s="653"/>
      <c r="F15" s="636"/>
      <c r="G15" s="653"/>
      <c r="H15" s="486"/>
      <c r="J15" s="469"/>
    </row>
    <row r="16" spans="1:14" ht="17" hidden="1" customHeight="1">
      <c r="A16" s="520"/>
      <c r="B16" s="507" t="s">
        <v>13</v>
      </c>
      <c r="C16" s="447" t="s">
        <v>14</v>
      </c>
      <c r="D16" s="636"/>
      <c r="E16" s="654" t="s">
        <v>15</v>
      </c>
      <c r="F16" s="654" t="s">
        <v>14</v>
      </c>
      <c r="G16" s="655"/>
      <c r="H16" s="487"/>
      <c r="J16" s="469"/>
    </row>
    <row r="17" spans="1:15" ht="16" hidden="1" customHeight="1">
      <c r="A17" s="520"/>
      <c r="B17" s="507" t="s">
        <v>16</v>
      </c>
      <c r="C17" s="448" t="s">
        <v>19</v>
      </c>
      <c r="D17" s="636"/>
      <c r="E17" s="654" t="s">
        <v>18</v>
      </c>
      <c r="F17" s="654" t="s">
        <v>17</v>
      </c>
      <c r="G17" s="654" t="s">
        <v>19</v>
      </c>
      <c r="H17" s="487"/>
      <c r="J17" s="469"/>
    </row>
    <row r="18" spans="1:15" hidden="1">
      <c r="A18" s="520"/>
      <c r="B18" s="432"/>
      <c r="C18" s="636"/>
      <c r="D18" s="636"/>
      <c r="E18" s="636"/>
      <c r="F18" s="636"/>
      <c r="G18" s="636"/>
      <c r="H18" s="430"/>
    </row>
    <row r="19" spans="1:15" ht="13" customHeight="1">
      <c r="A19" s="520"/>
      <c r="B19" s="510" t="s">
        <v>483</v>
      </c>
      <c r="C19" s="656" t="s">
        <v>484</v>
      </c>
      <c r="D19" s="636"/>
      <c r="E19" s="449">
        <v>0.85</v>
      </c>
      <c r="F19" s="657" t="s">
        <v>486</v>
      </c>
      <c r="G19" s="636"/>
      <c r="H19" s="483"/>
    </row>
    <row r="20" spans="1:15">
      <c r="A20" s="520"/>
      <c r="B20" s="658"/>
      <c r="C20" s="656" t="s">
        <v>485</v>
      </c>
      <c r="D20" s="636"/>
      <c r="E20" s="449">
        <v>0.03</v>
      </c>
      <c r="F20" s="657" t="s">
        <v>487</v>
      </c>
      <c r="G20" s="636"/>
      <c r="H20" s="430"/>
    </row>
    <row r="21" spans="1:15">
      <c r="A21" s="520"/>
      <c r="B21" s="432"/>
      <c r="C21" s="636"/>
      <c r="D21" s="636"/>
      <c r="E21" s="636"/>
      <c r="F21" s="636"/>
      <c r="G21" s="639" t="s">
        <v>25</v>
      </c>
      <c r="H21" s="430"/>
    </row>
    <row r="22" spans="1:15">
      <c r="A22" s="520"/>
      <c r="B22" s="510" t="s">
        <v>26</v>
      </c>
      <c r="C22" s="659" t="s">
        <v>27</v>
      </c>
      <c r="D22" s="627" t="s">
        <v>28</v>
      </c>
      <c r="E22" s="627" t="s">
        <v>29</v>
      </c>
      <c r="F22" s="627" t="s">
        <v>30</v>
      </c>
      <c r="G22" s="627" t="s">
        <v>31</v>
      </c>
      <c r="H22" s="490" t="s">
        <v>32</v>
      </c>
    </row>
    <row r="23" spans="1:15" ht="18" customHeight="1">
      <c r="A23" s="520"/>
      <c r="B23" s="660" t="s">
        <v>33</v>
      </c>
      <c r="C23" s="93" t="s">
        <v>488</v>
      </c>
      <c r="D23" s="692" t="s">
        <v>489</v>
      </c>
      <c r="E23" s="661"/>
      <c r="F23" s="657"/>
      <c r="G23" s="627"/>
      <c r="H23" s="490"/>
      <c r="I23" s="459" t="s">
        <v>36</v>
      </c>
      <c r="J23" s="459" t="s">
        <v>34</v>
      </c>
      <c r="K23" s="459" t="s">
        <v>37</v>
      </c>
      <c r="L23" s="459" t="s">
        <v>38</v>
      </c>
      <c r="M23" s="459" t="s">
        <v>408</v>
      </c>
      <c r="N23" s="459" t="s">
        <v>409</v>
      </c>
      <c r="O23" s="459" t="s">
        <v>431</v>
      </c>
    </row>
    <row r="24" spans="1:15" ht="19" hidden="1" customHeight="1">
      <c r="A24" s="520"/>
      <c r="B24" s="512"/>
      <c r="C24" s="95"/>
      <c r="D24" s="96"/>
      <c r="E24" s="662"/>
      <c r="F24" s="600" t="s">
        <v>39</v>
      </c>
      <c r="G24" s="601" t="s">
        <v>40</v>
      </c>
      <c r="H24" s="602" t="s">
        <v>41</v>
      </c>
      <c r="I24" s="459"/>
      <c r="J24" s="459"/>
      <c r="K24" s="459"/>
      <c r="L24" s="459"/>
      <c r="M24" s="459"/>
      <c r="N24" s="459"/>
    </row>
    <row r="25" spans="1:15" ht="17" hidden="1" customHeight="1" thickBot="1">
      <c r="A25" s="520"/>
      <c r="B25" s="513"/>
      <c r="C25" s="663" t="s">
        <v>42</v>
      </c>
      <c r="D25" s="636"/>
      <c r="E25" s="636"/>
      <c r="F25" s="603">
        <v>33.18</v>
      </c>
      <c r="G25" s="604">
        <v>24</v>
      </c>
      <c r="H25" s="605">
        <v>24</v>
      </c>
    </row>
    <row r="26" spans="1:15" ht="17" customHeight="1">
      <c r="A26" s="520"/>
      <c r="B26" s="432"/>
      <c r="C26" s="636"/>
      <c r="D26" s="636"/>
      <c r="E26" s="639"/>
      <c r="F26" s="636"/>
      <c r="G26" s="664"/>
      <c r="H26" s="430"/>
    </row>
    <row r="27" spans="1:15" ht="16" hidden="1" customHeight="1">
      <c r="A27" s="520"/>
      <c r="B27" s="510" t="s">
        <v>43</v>
      </c>
      <c r="C27" s="639" t="s">
        <v>44</v>
      </c>
      <c r="D27" s="448" t="s">
        <v>27</v>
      </c>
      <c r="E27" s="657" t="s">
        <v>45</v>
      </c>
      <c r="F27" s="636"/>
      <c r="G27" s="636"/>
      <c r="H27" s="430"/>
    </row>
    <row r="28" spans="1:15" ht="18" hidden="1" customHeight="1">
      <c r="A28" s="520"/>
      <c r="B28" s="514"/>
      <c r="C28" s="639" t="s">
        <v>46</v>
      </c>
      <c r="D28" s="447">
        <v>10</v>
      </c>
      <c r="E28" s="665" t="b">
        <f>IF(Salary="BLS adj min wage",Wages!B19,IF(Salary="BLS adj $12.10",Wages!B30,
IF(Salary="Kindergarten Parity",Wages!D8,
IF(Salary="User added",Wages!E8,IF(Salary="$15 min wage",Wages!B40,
IF(Salary="$18 min wage",Wages!B50))))))</f>
        <v>0</v>
      </c>
      <c r="F28" s="636"/>
      <c r="G28" s="636"/>
      <c r="H28" s="430"/>
    </row>
    <row r="29" spans="1:15" ht="17" hidden="1" customHeight="1">
      <c r="A29" s="520"/>
      <c r="B29" s="432"/>
      <c r="C29" s="639" t="s">
        <v>47</v>
      </c>
      <c r="D29" s="447">
        <v>10</v>
      </c>
      <c r="E29" s="657" t="s">
        <v>48</v>
      </c>
      <c r="F29" s="636"/>
      <c r="G29" s="636"/>
      <c r="H29" s="430"/>
    </row>
    <row r="30" spans="1:15" ht="16" hidden="1" customHeight="1">
      <c r="A30" s="520"/>
      <c r="B30" s="432"/>
      <c r="C30" s="636"/>
      <c r="D30" s="636"/>
      <c r="E30" s="636"/>
      <c r="F30" s="636"/>
      <c r="G30" s="636"/>
      <c r="H30" s="430"/>
    </row>
    <row r="31" spans="1:15" hidden="1">
      <c r="A31" s="520"/>
      <c r="B31" s="666" t="s">
        <v>49</v>
      </c>
      <c r="C31" s="636"/>
      <c r="D31" s="636"/>
      <c r="E31" s="636"/>
      <c r="F31" s="636"/>
      <c r="G31" s="636"/>
      <c r="H31" s="430"/>
    </row>
    <row r="32" spans="1:15" hidden="1">
      <c r="A32" s="520"/>
      <c r="B32" s="429" t="s">
        <v>50</v>
      </c>
      <c r="C32" s="639" t="s">
        <v>51</v>
      </c>
      <c r="D32" s="87">
        <v>0</v>
      </c>
      <c r="E32" s="667" t="s">
        <v>52</v>
      </c>
      <c r="F32" s="668">
        <v>500</v>
      </c>
      <c r="G32" s="636"/>
      <c r="H32" s="430"/>
    </row>
    <row r="33" spans="1:36" hidden="1">
      <c r="A33" s="520"/>
      <c r="B33" s="429" t="s">
        <v>53</v>
      </c>
      <c r="C33" s="639" t="s">
        <v>54</v>
      </c>
      <c r="D33" s="233">
        <v>0</v>
      </c>
      <c r="E33" s="657" t="s">
        <v>55</v>
      </c>
      <c r="F33" s="668"/>
      <c r="G33" s="636"/>
      <c r="H33" s="430"/>
    </row>
    <row r="34" spans="1:36" hidden="1">
      <c r="A34" s="520"/>
      <c r="B34" s="429"/>
      <c r="C34" s="639"/>
      <c r="D34" s="636"/>
      <c r="E34" s="657"/>
      <c r="F34" s="636"/>
      <c r="G34" s="669"/>
      <c r="H34" s="430"/>
    </row>
    <row r="35" spans="1:36" hidden="1">
      <c r="A35" s="520"/>
      <c r="B35" s="429"/>
      <c r="C35" s="639"/>
      <c r="D35" s="668"/>
      <c r="E35" s="657"/>
      <c r="F35" s="636"/>
      <c r="G35" s="669"/>
      <c r="H35" s="430"/>
    </row>
    <row r="36" spans="1:36">
      <c r="A36" s="520"/>
      <c r="B36" s="510" t="s">
        <v>490</v>
      </c>
      <c r="C36" s="636"/>
      <c r="D36" s="636"/>
      <c r="E36" s="657"/>
      <c r="F36" s="636"/>
      <c r="G36" s="636"/>
      <c r="H36" s="430"/>
    </row>
    <row r="37" spans="1:36">
      <c r="A37" s="520"/>
      <c r="B37" s="515" t="s">
        <v>491</v>
      </c>
      <c r="C37" s="636"/>
      <c r="D37" s="670"/>
      <c r="E37" s="670"/>
      <c r="F37" s="636"/>
      <c r="G37" s="636"/>
      <c r="H37" s="430"/>
    </row>
    <row r="38" spans="1:36" ht="34" customHeight="1">
      <c r="A38" s="520"/>
      <c r="B38" s="516"/>
      <c r="C38" s="691" t="s">
        <v>492</v>
      </c>
      <c r="D38" s="691" t="s">
        <v>493</v>
      </c>
      <c r="E38" s="636"/>
      <c r="F38" s="636"/>
      <c r="G38" s="671"/>
      <c r="H38" s="630"/>
      <c r="I38" s="470"/>
      <c r="J38" s="471"/>
      <c r="AI38"/>
      <c r="AJ38"/>
    </row>
    <row r="39" spans="1:36" ht="14">
      <c r="A39" s="520"/>
      <c r="B39" s="517" t="str">
        <f>D8</f>
        <v>Infantes</v>
      </c>
      <c r="C39" s="450">
        <v>1</v>
      </c>
      <c r="D39" s="243">
        <f>C8-C39</f>
        <v>11</v>
      </c>
      <c r="E39" s="636"/>
      <c r="F39" s="636"/>
      <c r="G39" s="671"/>
      <c r="H39" s="630"/>
      <c r="I39" s="470"/>
      <c r="J39" s="471"/>
      <c r="AI39"/>
      <c r="AJ39"/>
    </row>
    <row r="40" spans="1:36" ht="14">
      <c r="A40" s="520"/>
      <c r="B40" s="517" t="str">
        <f t="shared" ref="B40:B43" si="1">D9</f>
        <v>niños de dos años</v>
      </c>
      <c r="C40" s="450">
        <v>1</v>
      </c>
      <c r="D40" s="243">
        <f t="shared" ref="D40:D44" si="2">C9-C40</f>
        <v>19</v>
      </c>
      <c r="E40" s="636"/>
      <c r="F40" s="636"/>
      <c r="G40" s="671"/>
      <c r="H40" s="630"/>
      <c r="I40" s="472"/>
      <c r="J40" s="471"/>
      <c r="AI40"/>
      <c r="AJ40"/>
    </row>
    <row r="41" spans="1:36" ht="14">
      <c r="A41" s="520"/>
      <c r="B41" s="517" t="str">
        <f t="shared" si="1"/>
        <v>niños de tres años</v>
      </c>
      <c r="C41" s="450">
        <v>1</v>
      </c>
      <c r="D41" s="243">
        <f t="shared" si="2"/>
        <v>23</v>
      </c>
      <c r="E41" s="636"/>
      <c r="F41" s="636"/>
      <c r="G41" s="671"/>
      <c r="H41" s="630"/>
      <c r="I41" s="470"/>
      <c r="J41" s="471"/>
      <c r="AI41"/>
      <c r="AJ41"/>
    </row>
    <row r="42" spans="1:36" ht="14">
      <c r="A42" s="520"/>
      <c r="B42" s="517" t="str">
        <f t="shared" si="1"/>
        <v>niños de cuatro años</v>
      </c>
      <c r="C42" s="450">
        <v>1</v>
      </c>
      <c r="D42" s="243">
        <f t="shared" si="2"/>
        <v>23</v>
      </c>
      <c r="E42" s="636"/>
      <c r="F42" s="636"/>
      <c r="G42" s="671"/>
      <c r="H42" s="630"/>
      <c r="I42" s="473"/>
      <c r="J42" s="471"/>
      <c r="AI42"/>
      <c r="AJ42"/>
    </row>
    <row r="43" spans="1:36" ht="14">
      <c r="A43" s="520"/>
      <c r="B43" s="517" t="str">
        <f t="shared" si="1"/>
        <v>edad escolar</v>
      </c>
      <c r="C43" s="450">
        <v>1</v>
      </c>
      <c r="D43" s="243">
        <f t="shared" si="2"/>
        <v>29</v>
      </c>
      <c r="E43" s="636"/>
      <c r="F43" s="636"/>
      <c r="G43" s="671"/>
      <c r="H43" s="631"/>
      <c r="AI43"/>
      <c r="AJ43"/>
    </row>
    <row r="44" spans="1:36">
      <c r="A44" s="520"/>
      <c r="B44" s="518" t="s">
        <v>93</v>
      </c>
      <c r="C44" s="244">
        <f>SUM(C39:C43)</f>
        <v>5</v>
      </c>
      <c r="D44" s="243">
        <f t="shared" si="2"/>
        <v>105</v>
      </c>
      <c r="E44" s="636"/>
      <c r="F44" s="636"/>
      <c r="G44" s="671"/>
      <c r="H44" s="631"/>
      <c r="AI44"/>
      <c r="AJ44"/>
    </row>
    <row r="45" spans="1:36" ht="16">
      <c r="A45" s="520"/>
      <c r="B45" s="429"/>
      <c r="C45" s="672" t="s">
        <v>494</v>
      </c>
      <c r="D45" s="245">
        <f>SUM(C39:C43)</f>
        <v>5</v>
      </c>
      <c r="E45" s="636"/>
      <c r="F45" s="636"/>
      <c r="G45" s="671"/>
      <c r="H45" s="631"/>
      <c r="AI45"/>
      <c r="AJ45"/>
    </row>
    <row r="46" spans="1:36">
      <c r="A46" s="520"/>
      <c r="B46" s="432"/>
      <c r="C46" s="672" t="s">
        <v>495</v>
      </c>
      <c r="D46" s="246">
        <f>D45/C13</f>
        <v>4.5454545454545456E-2</v>
      </c>
      <c r="E46" s="636"/>
      <c r="F46" s="636"/>
      <c r="G46" s="671"/>
      <c r="H46" s="631"/>
      <c r="AI46"/>
      <c r="AJ46"/>
    </row>
    <row r="47" spans="1:36" ht="14" thickBot="1">
      <c r="A47" s="520"/>
      <c r="B47" s="552" t="str">
        <f>IF(G2=I2,"Nota: Los programas deben tener una calificación de 2 estrellas para recibir ingresos del subsidio de cuidado infantil", " ")</f>
        <v>Nota: Los programas deben tener una calificación de 2 estrellas para recibir ingresos del subsidio de cuidado infantil</v>
      </c>
      <c r="C47" s="639"/>
      <c r="D47" s="668"/>
      <c r="E47" s="657"/>
      <c r="F47" s="636"/>
      <c r="G47" s="673"/>
      <c r="H47" s="631"/>
    </row>
    <row r="48" spans="1:36">
      <c r="A48" s="520"/>
      <c r="B48" s="677"/>
      <c r="C48" s="678"/>
      <c r="D48" s="679"/>
      <c r="E48" s="680"/>
      <c r="F48" s="679"/>
      <c r="G48" s="681"/>
      <c r="H48" s="682"/>
    </row>
    <row r="49" spans="1:12" ht="15" customHeight="1" thickBot="1">
      <c r="A49" s="520"/>
      <c r="B49" s="683"/>
      <c r="C49" s="684"/>
      <c r="D49" s="685"/>
      <c r="E49" s="686"/>
      <c r="F49" s="685"/>
      <c r="G49" s="687"/>
      <c r="H49" s="520"/>
      <c r="I49" s="474"/>
    </row>
    <row r="50" spans="1:12" ht="15" customHeight="1" thickBot="1">
      <c r="A50" s="520"/>
      <c r="B50" s="527" t="s">
        <v>496</v>
      </c>
      <c r="C50" s="522"/>
      <c r="D50" s="685"/>
      <c r="E50" s="545" t="s">
        <v>517</v>
      </c>
      <c r="F50" s="543" t="s">
        <v>518</v>
      </c>
      <c r="G50" s="543" t="s">
        <v>519</v>
      </c>
      <c r="H50" s="544" t="s">
        <v>520</v>
      </c>
      <c r="I50" s="475"/>
      <c r="J50" s="476"/>
      <c r="K50" s="477"/>
      <c r="L50" s="478"/>
    </row>
    <row r="51" spans="1:12" ht="15" customHeight="1">
      <c r="A51" s="520"/>
      <c r="B51" s="525" t="s">
        <v>440</v>
      </c>
      <c r="C51" s="612">
        <f>'Quality Center Profile'!A17</f>
        <v>14.6</v>
      </c>
      <c r="D51" s="685"/>
      <c r="E51" s="535" t="str">
        <f>D8</f>
        <v>Infantes</v>
      </c>
      <c r="F51" s="674">
        <f>'Quality Center Profile'!H7</f>
        <v>14895.461095499499</v>
      </c>
      <c r="G51" s="674">
        <f>F51/12</f>
        <v>1241.2884246249582</v>
      </c>
      <c r="H51" s="356">
        <f>F51/52</f>
        <v>286.45117491345189</v>
      </c>
      <c r="I51" s="475"/>
      <c r="J51" s="479"/>
      <c r="K51" s="477"/>
    </row>
    <row r="52" spans="1:12" ht="15" customHeight="1">
      <c r="A52" s="520"/>
      <c r="B52" s="525" t="s">
        <v>441</v>
      </c>
      <c r="C52" s="612">
        <f>_NumberTeachingStaff</f>
        <v>11.6</v>
      </c>
      <c r="D52" s="685"/>
      <c r="E52" s="535" t="str">
        <f>D9</f>
        <v>niños de dos años</v>
      </c>
      <c r="F52" s="674">
        <f>'Quality Center Profile'!H8</f>
        <v>11098.885873277275</v>
      </c>
      <c r="G52" s="674">
        <f>F52/12</f>
        <v>924.90715610643963</v>
      </c>
      <c r="H52" s="356">
        <f>F52/52</f>
        <v>213.4401129476399</v>
      </c>
      <c r="I52" s="475"/>
      <c r="J52" s="479"/>
      <c r="K52" s="477"/>
    </row>
    <row r="53" spans="1:12" ht="15" customHeight="1">
      <c r="A53" s="520"/>
      <c r="B53" s="523"/>
      <c r="C53" s="524"/>
      <c r="D53" s="685"/>
      <c r="E53" s="535" t="str">
        <f>D10</f>
        <v>niños de tres años</v>
      </c>
      <c r="F53" s="674">
        <f>'Quality Center Profile'!H9</f>
        <v>10149.742067721718</v>
      </c>
      <c r="G53" s="674">
        <f>F53/12</f>
        <v>845.81183897680978</v>
      </c>
      <c r="H53" s="356">
        <f>F53/52</f>
        <v>195.18734745618687</v>
      </c>
      <c r="I53" s="475"/>
      <c r="J53" s="470"/>
      <c r="K53" s="477"/>
    </row>
    <row r="54" spans="1:12" ht="15" customHeight="1">
      <c r="A54" s="520"/>
      <c r="B54" s="529" t="s">
        <v>497</v>
      </c>
      <c r="C54" s="530"/>
      <c r="D54" s="685"/>
      <c r="E54" s="535" t="str">
        <f>D11</f>
        <v>niños de cuatro años</v>
      </c>
      <c r="F54" s="674">
        <f>'Quality Center Profile'!H10</f>
        <v>10149.742067721718</v>
      </c>
      <c r="G54" s="674">
        <f>F54/12</f>
        <v>845.81183897680978</v>
      </c>
      <c r="H54" s="356">
        <f>F54/52</f>
        <v>195.18734745618687</v>
      </c>
      <c r="I54" s="475"/>
      <c r="J54" s="479"/>
      <c r="K54" s="477"/>
    </row>
    <row r="55" spans="1:12" ht="15" customHeight="1" thickBot="1">
      <c r="A55" s="520"/>
      <c r="B55" s="535" t="s">
        <v>498</v>
      </c>
      <c r="C55" s="561">
        <f>'Quality Center Profile'!D37</f>
        <v>567832.73396159988</v>
      </c>
      <c r="D55" s="685"/>
      <c r="E55" s="536" t="str">
        <f>D12</f>
        <v>edad escolar</v>
      </c>
      <c r="F55" s="357">
        <f>'Quality Center Profile'!H11</f>
        <v>6407.244088575043</v>
      </c>
      <c r="G55" s="357">
        <f>F55/12</f>
        <v>533.93700738125358</v>
      </c>
      <c r="H55" s="358">
        <f>F55/52</f>
        <v>123.21623247259699</v>
      </c>
      <c r="I55" s="480"/>
      <c r="J55" s="479"/>
      <c r="K55" s="481"/>
    </row>
    <row r="56" spans="1:12" ht="15" customHeight="1" thickBot="1">
      <c r="A56" s="520"/>
      <c r="B56" s="535" t="s">
        <v>499</v>
      </c>
      <c r="C56" s="561">
        <f>SUM('Quality Center Profile'!D43:D45)</f>
        <v>143249.42249710238</v>
      </c>
      <c r="D56" s="685"/>
      <c r="E56" s="685"/>
      <c r="F56" s="685"/>
      <c r="G56" s="685"/>
      <c r="H56" s="682"/>
    </row>
    <row r="57" spans="1:12" ht="31" thickBot="1">
      <c r="A57" s="520"/>
      <c r="B57" s="534" t="s">
        <v>500</v>
      </c>
      <c r="C57" s="560">
        <f>Personnel</f>
        <v>711082.15645870229</v>
      </c>
      <c r="D57" s="685"/>
      <c r="E57" s="546" t="s">
        <v>521</v>
      </c>
      <c r="F57" s="541" t="s">
        <v>522</v>
      </c>
      <c r="G57" s="541" t="s">
        <v>523</v>
      </c>
      <c r="H57" s="542" t="s">
        <v>524</v>
      </c>
      <c r="I57" s="478"/>
      <c r="J57" s="478"/>
      <c r="K57" s="478"/>
    </row>
    <row r="58" spans="1:12">
      <c r="A58" s="520"/>
      <c r="B58" s="535" t="s">
        <v>501</v>
      </c>
      <c r="C58" s="561">
        <f>NP_EdProgram</f>
        <v>161729.8382</v>
      </c>
      <c r="D58" s="685"/>
      <c r="E58" s="537" t="str">
        <f>D8</f>
        <v>Infantes</v>
      </c>
      <c r="F58" s="675">
        <f>G58*12</f>
        <v>10560</v>
      </c>
      <c r="G58" s="675">
        <f>IF(RatioOpt=I$2,'Subsidy rates'!B3,IF(RatioOpt='VariablesINPUT-CTR'!J$2,'Subsidy rates'!C3,IF(RatioOpt='VariablesINPUT-CTR'!K$2,'Subsidy rates'!D3,IF(RatioOpt='VariablesINPUT-CTR'!L$2,'Subsidy rates'!E3,"error"))))</f>
        <v>880</v>
      </c>
      <c r="H58" s="615">
        <f>F58/52</f>
        <v>203.07692307692307</v>
      </c>
      <c r="I58" s="478"/>
      <c r="J58" s="478"/>
      <c r="K58" s="478"/>
    </row>
    <row r="59" spans="1:12" ht="15" customHeight="1">
      <c r="A59" s="520"/>
      <c r="B59" s="535" t="s">
        <v>502</v>
      </c>
      <c r="C59" s="561">
        <f>NP_Occupancy</f>
        <v>116785.08333333331</v>
      </c>
      <c r="D59" s="685"/>
      <c r="E59" s="537" t="str">
        <f>D9</f>
        <v>niños de dos años</v>
      </c>
      <c r="F59" s="675">
        <f t="shared" ref="F59:F60" si="3">G59*12</f>
        <v>7620</v>
      </c>
      <c r="G59" s="675">
        <f>IF(RatioOpt=I$2,'Subsidy rates'!B4,IF(RatioOpt='VariablesINPUT-CTR'!J$2,'Subsidy rates'!C4,IF(RatioOpt='VariablesINPUT-CTR'!K$2,'Subsidy rates'!D4,IF(RatioOpt='VariablesINPUT-CTR'!L$2,'Subsidy rates'!E4,"error"))))</f>
        <v>635</v>
      </c>
      <c r="H59" s="615">
        <f t="shared" ref="H59:H60" si="4">F59/52</f>
        <v>146.53846153846155</v>
      </c>
      <c r="I59" s="478"/>
      <c r="J59" s="478"/>
      <c r="K59" s="478"/>
    </row>
    <row r="60" spans="1:12" ht="15" customHeight="1">
      <c r="A60" s="520"/>
      <c r="B60" s="535" t="s">
        <v>503</v>
      </c>
      <c r="C60" s="561">
        <f>NP_MgtAdmin</f>
        <v>13292.291083076923</v>
      </c>
      <c r="D60" s="685"/>
      <c r="E60" s="537" t="str">
        <f>D10</f>
        <v>niños de tres años</v>
      </c>
      <c r="F60" s="675">
        <f t="shared" si="3"/>
        <v>6900</v>
      </c>
      <c r="G60" s="675">
        <f>IF(RatioOpt=I$2,'Subsidy rates'!B5,IF(RatioOpt='VariablesINPUT-CTR'!J$2,'Subsidy rates'!C5,IF(RatioOpt='VariablesINPUT-CTR'!K$2,'Subsidy rates'!D5,IF(RatioOpt='VariablesINPUT-CTR'!L$2,'Subsidy rates'!E5,"error"))))</f>
        <v>575</v>
      </c>
      <c r="H60" s="615">
        <f t="shared" si="4"/>
        <v>132.69230769230768</v>
      </c>
      <c r="I60" s="478"/>
      <c r="J60" s="478"/>
      <c r="K60" s="478"/>
    </row>
    <row r="61" spans="1:12" ht="15" customHeight="1">
      <c r="A61" s="520"/>
      <c r="B61" s="535" t="s">
        <v>504</v>
      </c>
      <c r="C61" s="561">
        <f>'Quality Center Profile'!D52</f>
        <v>14362.965804347827</v>
      </c>
      <c r="D61" s="685"/>
      <c r="E61" s="537" t="str">
        <f>D11</f>
        <v>niños de cuatro años</v>
      </c>
      <c r="F61" s="675">
        <f>G61*12</f>
        <v>6900</v>
      </c>
      <c r="G61" s="675">
        <f>IF(RatioOpt=I$2,'Subsidy rates'!B6,IF(RatioOpt='VariablesINPUT-CTR'!J$2,'Subsidy rates'!C6,IF(RatioOpt='VariablesINPUT-CTR'!K$2,'Subsidy rates'!D6,IF(RatioOpt='VariablesINPUT-CTR'!L$2,'Subsidy rates'!E6,"error"))))</f>
        <v>575</v>
      </c>
      <c r="H61" s="615">
        <f t="shared" ref="H61" si="5">F61/52</f>
        <v>132.69230769230768</v>
      </c>
      <c r="I61" s="478"/>
      <c r="J61" s="478"/>
      <c r="K61" s="478"/>
    </row>
    <row r="62" spans="1:12" ht="15" customHeight="1" thickBot="1">
      <c r="A62" s="520"/>
      <c r="B62" s="535" t="s">
        <v>505</v>
      </c>
      <c r="C62" s="561">
        <f>Reserve_Fund</f>
        <v>50862.61674397302</v>
      </c>
      <c r="D62" s="685"/>
      <c r="E62" s="538" t="str">
        <f>D12</f>
        <v>edad escolar</v>
      </c>
      <c r="F62" s="92">
        <f>G62*12</f>
        <v>5292</v>
      </c>
      <c r="G62" s="92">
        <f>IF(RatioOpt=I$2,'Subsidy rates'!B7,IF(RatioOpt='VariablesINPUT-CTR'!J$2,'Subsidy rates'!C7,IF(RatioOpt='VariablesINPUT-CTR'!K$2,'Subsidy rates'!D7,IF(RatioOpt='VariablesINPUT-CTR'!L$2,'Subsidy rates'!E7,"error"))))</f>
        <v>441</v>
      </c>
      <c r="H62" s="616">
        <f>F62/52</f>
        <v>101.76923076923077</v>
      </c>
      <c r="I62" s="478"/>
      <c r="J62" s="478"/>
      <c r="K62" s="478"/>
    </row>
    <row r="63" spans="1:12" ht="15" customHeight="1" thickBot="1">
      <c r="A63" s="520"/>
      <c r="B63" s="535" t="s">
        <v>506</v>
      </c>
      <c r="C63" s="561">
        <f>GRT</f>
        <v>12013.240895999996</v>
      </c>
      <c r="D63" s="685"/>
      <c r="E63" s="685"/>
      <c r="F63" s="685"/>
      <c r="G63" s="685"/>
      <c r="H63" s="520"/>
      <c r="I63" s="478"/>
      <c r="J63" s="478"/>
      <c r="K63" s="478"/>
    </row>
    <row r="64" spans="1:12" ht="16" thickBot="1">
      <c r="A64" s="520"/>
      <c r="B64" s="534" t="s">
        <v>507</v>
      </c>
      <c r="C64" s="560">
        <f>SUM('Quality Center Profile'!D54:D57)</f>
        <v>369046.0360607311</v>
      </c>
      <c r="D64" s="685"/>
      <c r="E64" s="632" t="s">
        <v>525</v>
      </c>
      <c r="F64" s="633" t="s">
        <v>522</v>
      </c>
      <c r="G64" s="547" t="s">
        <v>523</v>
      </c>
      <c r="H64" s="548" t="s">
        <v>524</v>
      </c>
    </row>
    <row r="65" spans="1:8" ht="29" customHeight="1">
      <c r="A65" s="520"/>
      <c r="B65" s="529" t="s">
        <v>508</v>
      </c>
      <c r="C65" s="562">
        <f>SUM(C57,C64)</f>
        <v>1080128.1925194333</v>
      </c>
      <c r="D65" s="685"/>
      <c r="E65" s="539" t="str">
        <f>D8</f>
        <v>Infantes</v>
      </c>
      <c r="F65" s="676">
        <f>F58-F51</f>
        <v>-4335.4610954994987</v>
      </c>
      <c r="G65" s="676">
        <f>G58-G51</f>
        <v>-361.28842462495822</v>
      </c>
      <c r="H65" s="215">
        <f>H58-H51</f>
        <v>-83.374251836528828</v>
      </c>
    </row>
    <row r="66" spans="1:8" ht="15" customHeight="1">
      <c r="A66" s="520"/>
      <c r="B66" s="523"/>
      <c r="C66" s="549"/>
      <c r="D66" s="685"/>
      <c r="E66" s="539" t="str">
        <f>D9</f>
        <v>niños de dos años</v>
      </c>
      <c r="F66" s="676">
        <f>F59-F52</f>
        <v>-3478.8858732772751</v>
      </c>
      <c r="G66" s="676">
        <f>G59-G52</f>
        <v>-289.90715610643963</v>
      </c>
      <c r="H66" s="215">
        <f>H59-H52</f>
        <v>-66.901651409178356</v>
      </c>
    </row>
    <row r="67" spans="1:8" ht="15" customHeight="1">
      <c r="A67" s="520"/>
      <c r="B67" s="529" t="s">
        <v>509</v>
      </c>
      <c r="C67" s="550"/>
      <c r="D67" s="685"/>
      <c r="E67" s="539" t="str">
        <f>D10</f>
        <v>niños de tres años</v>
      </c>
      <c r="F67" s="676">
        <f>F60-F53</f>
        <v>-3249.7420677217178</v>
      </c>
      <c r="G67" s="676">
        <f>G60-G53</f>
        <v>-270.81183897680978</v>
      </c>
      <c r="H67" s="215">
        <f>H60-H53</f>
        <v>-62.495039763879191</v>
      </c>
    </row>
    <row r="68" spans="1:8" ht="15" customHeight="1">
      <c r="A68" s="520"/>
      <c r="B68" s="523" t="s">
        <v>445</v>
      </c>
      <c r="C68" s="613">
        <f>'Quality Center Profile'!D63</f>
        <v>32291.999999999993</v>
      </c>
      <c r="D68" s="685"/>
      <c r="E68" s="539" t="str">
        <f>D11</f>
        <v>niños de cuatro años</v>
      </c>
      <c r="F68" s="676">
        <f>F61-F54</f>
        <v>-3249.7420677217178</v>
      </c>
      <c r="G68" s="676">
        <f>G61-G54</f>
        <v>-270.81183897680978</v>
      </c>
      <c r="H68" s="215">
        <f>H61-H54</f>
        <v>-62.495039763879191</v>
      </c>
    </row>
    <row r="69" spans="1:8" ht="15" customHeight="1" thickBot="1">
      <c r="A69" s="520"/>
      <c r="B69" s="523" t="s">
        <v>493</v>
      </c>
      <c r="C69" s="613">
        <f>'Quality Center Profile'!D64</f>
        <v>1181815.26</v>
      </c>
      <c r="D69" s="685"/>
      <c r="E69" s="540" t="str">
        <f>D12</f>
        <v>edad escolar</v>
      </c>
      <c r="F69" s="202">
        <f>F62-F55</f>
        <v>-1115.244088575043</v>
      </c>
      <c r="G69" s="202">
        <f>G62-G55</f>
        <v>-92.937007381253579</v>
      </c>
      <c r="H69" s="216">
        <f>H62-H55</f>
        <v>-21.447001703366212</v>
      </c>
    </row>
    <row r="70" spans="1:8">
      <c r="A70" s="520"/>
      <c r="B70" s="525" t="s">
        <v>510</v>
      </c>
      <c r="C70" s="613">
        <f>'Quality Center Profile'!D65</f>
        <v>37272</v>
      </c>
      <c r="D70" s="685"/>
      <c r="E70" s="685"/>
      <c r="F70" s="685"/>
      <c r="G70" s="685"/>
      <c r="H70" s="520"/>
    </row>
    <row r="71" spans="1:8">
      <c r="A71" s="520"/>
      <c r="B71" s="525" t="s">
        <v>511</v>
      </c>
      <c r="C71" s="613">
        <f>'Quality Center Profile'!D66</f>
        <v>0</v>
      </c>
      <c r="D71" s="685"/>
      <c r="E71" s="685"/>
      <c r="F71" s="685"/>
      <c r="G71" s="685"/>
      <c r="H71" s="520"/>
    </row>
    <row r="72" spans="1:8" ht="28">
      <c r="A72" s="520"/>
      <c r="B72" s="532" t="s">
        <v>512</v>
      </c>
      <c r="C72" s="614">
        <f>'Quality Center Profile'!E72</f>
        <v>-150165.51119999995</v>
      </c>
      <c r="D72" s="685"/>
      <c r="E72" s="685"/>
      <c r="F72" s="685"/>
      <c r="G72" s="685"/>
      <c r="H72" s="520"/>
    </row>
    <row r="73" spans="1:8" ht="29" customHeight="1">
      <c r="A73" s="520"/>
      <c r="B73" s="529" t="s">
        <v>513</v>
      </c>
      <c r="C73" s="562">
        <f>SUM(C68:C72)</f>
        <v>1101213.7488000002</v>
      </c>
      <c r="D73" s="688"/>
      <c r="E73" s="685"/>
      <c r="F73" s="685"/>
      <c r="G73" s="685"/>
      <c r="H73" s="520"/>
    </row>
    <row r="74" spans="1:8">
      <c r="A74" s="520"/>
      <c r="B74" s="528"/>
      <c r="C74" s="551"/>
      <c r="D74" s="685"/>
      <c r="E74" s="685"/>
      <c r="F74" s="685"/>
      <c r="G74" s="685"/>
      <c r="H74" s="520"/>
    </row>
    <row r="75" spans="1:8" ht="23" customHeight="1">
      <c r="A75" s="520"/>
      <c r="B75" s="532" t="s">
        <v>514</v>
      </c>
      <c r="C75" s="556">
        <f>'Quality Center Profile'!D75</f>
        <v>21085.556280566845</v>
      </c>
      <c r="D75" s="685"/>
      <c r="E75" s="685"/>
      <c r="F75" s="685"/>
      <c r="G75" s="685"/>
      <c r="H75" s="520"/>
    </row>
    <row r="76" spans="1:8" ht="15" thickBot="1">
      <c r="A76" s="520"/>
      <c r="B76" s="526" t="s">
        <v>515</v>
      </c>
      <c r="C76" s="555">
        <f>'Quality Center Profile'!E75</f>
        <v>1.9740905460146216E-2</v>
      </c>
      <c r="D76" s="685"/>
      <c r="E76" s="685"/>
      <c r="F76" s="685"/>
      <c r="G76" s="685"/>
      <c r="H76" s="520"/>
    </row>
    <row r="77" spans="1:8">
      <c r="A77" s="520"/>
      <c r="B77" s="683"/>
      <c r="C77" s="685"/>
      <c r="D77" s="685"/>
      <c r="E77" s="685"/>
      <c r="F77" s="685"/>
      <c r="G77" s="685"/>
      <c r="H77" s="520"/>
    </row>
    <row r="78" spans="1:8" s="460" customFormat="1" ht="14" thickBot="1">
      <c r="A78" s="520"/>
      <c r="B78" s="690" t="s">
        <v>516</v>
      </c>
      <c r="C78" s="621"/>
      <c r="D78" s="621"/>
      <c r="E78" s="621"/>
      <c r="F78" s="621"/>
      <c r="G78" s="621"/>
      <c r="H78" s="689"/>
    </row>
    <row r="79" spans="1:8" s="460" customFormat="1"/>
    <row r="80" spans="1:8" s="460" customFormat="1"/>
    <row r="81" s="460" customFormat="1"/>
    <row r="82" s="460" customFormat="1"/>
    <row r="83" s="460" customFormat="1"/>
    <row r="84" s="460" customFormat="1"/>
    <row r="85" s="460" customFormat="1"/>
    <row r="86" s="460" customFormat="1"/>
    <row r="87" s="460" customFormat="1"/>
    <row r="88" s="460" customFormat="1"/>
    <row r="89" s="460" customFormat="1"/>
    <row r="90" s="460" customFormat="1"/>
    <row r="91" s="460" customFormat="1"/>
    <row r="92" s="460" customFormat="1"/>
    <row r="93" s="460" customFormat="1"/>
    <row r="94" s="460" customFormat="1"/>
    <row r="95" s="460" customFormat="1"/>
    <row r="96" s="460" customFormat="1"/>
    <row r="97" s="460" customFormat="1"/>
    <row r="98" s="460" customFormat="1"/>
    <row r="99" s="460" customFormat="1"/>
    <row r="100" s="460" customFormat="1"/>
    <row r="101" s="460" customFormat="1"/>
    <row r="102" s="460" customFormat="1"/>
    <row r="103" s="460" customFormat="1"/>
    <row r="104" s="460" customFormat="1"/>
    <row r="105" s="460" customFormat="1"/>
    <row r="106" s="460" customFormat="1"/>
    <row r="107" s="460" customFormat="1"/>
    <row r="108" s="460" customFormat="1"/>
    <row r="109" s="460" customFormat="1"/>
    <row r="110" s="460" customFormat="1"/>
    <row r="111" s="460" customFormat="1"/>
    <row r="112" s="460" customFormat="1"/>
    <row r="113" s="460" customFormat="1"/>
    <row r="114" s="460" customFormat="1"/>
    <row r="115" s="460" customFormat="1"/>
    <row r="116" s="460" customFormat="1"/>
    <row r="117" s="460" customFormat="1"/>
    <row r="118" s="460" customFormat="1"/>
    <row r="119" s="460" customFormat="1"/>
    <row r="120" s="460" customFormat="1"/>
    <row r="121" s="460" customFormat="1"/>
    <row r="122" s="460" customFormat="1"/>
    <row r="123" s="460" customFormat="1"/>
    <row r="124" s="460" customFormat="1"/>
    <row r="125" s="460" customFormat="1"/>
    <row r="126" s="460" customFormat="1"/>
    <row r="127" s="460" customFormat="1"/>
    <row r="128" s="460" customFormat="1"/>
    <row r="129" s="460" customFormat="1"/>
    <row r="130" s="460" customFormat="1"/>
    <row r="131" s="460" customFormat="1"/>
    <row r="132" s="460" customFormat="1"/>
    <row r="133" s="460" customFormat="1"/>
    <row r="134" s="460" customFormat="1"/>
    <row r="135" s="460" customFormat="1"/>
    <row r="136" s="460" customFormat="1"/>
    <row r="137" s="460" customFormat="1"/>
    <row r="138" s="460" customFormat="1"/>
    <row r="139" s="460" customFormat="1"/>
    <row r="140" s="460" customFormat="1"/>
    <row r="141" s="460" customFormat="1"/>
    <row r="142" s="460" customFormat="1"/>
    <row r="143" s="460" customFormat="1"/>
    <row r="144" s="460" customFormat="1"/>
    <row r="145" s="460" customFormat="1"/>
    <row r="146" s="460" customFormat="1"/>
    <row r="147" s="460" customFormat="1"/>
    <row r="148" s="460" customFormat="1"/>
    <row r="149" s="460" customFormat="1"/>
    <row r="150" s="460" customFormat="1"/>
    <row r="151" s="460" customFormat="1"/>
    <row r="152" s="460" customFormat="1"/>
    <row r="153" s="460" customFormat="1"/>
    <row r="154" s="460" customFormat="1"/>
    <row r="155" s="460" customFormat="1"/>
    <row r="156" s="460" customFormat="1"/>
    <row r="157" s="460" customFormat="1"/>
    <row r="158" s="460" customFormat="1"/>
    <row r="159" s="460" customFormat="1"/>
    <row r="160" s="460" customFormat="1"/>
    <row r="161" s="460" customFormat="1"/>
    <row r="162" s="460" customFormat="1"/>
    <row r="163" s="460" customFormat="1"/>
    <row r="164" s="460" customFormat="1"/>
    <row r="165" s="460" customFormat="1"/>
    <row r="166" s="460" customFormat="1"/>
    <row r="167" s="460" customFormat="1"/>
    <row r="168" s="460" customFormat="1"/>
    <row r="169" s="460" customFormat="1"/>
    <row r="170" s="460" customFormat="1"/>
    <row r="171" s="460" customFormat="1"/>
    <row r="172" s="460" customFormat="1"/>
    <row r="173" s="460" customFormat="1"/>
    <row r="174" s="460" customFormat="1"/>
    <row r="175" s="460" customFormat="1"/>
    <row r="176" s="460" customFormat="1"/>
    <row r="177" s="460" customFormat="1"/>
    <row r="178" s="460" customFormat="1"/>
    <row r="179" s="460" customFormat="1"/>
    <row r="180" s="460" customFormat="1"/>
    <row r="181" s="460" customFormat="1"/>
    <row r="182" s="460" customFormat="1"/>
    <row r="183" s="460" customFormat="1"/>
    <row r="184" s="460" customFormat="1"/>
    <row r="185" s="460" customFormat="1"/>
    <row r="186" s="460" customFormat="1"/>
    <row r="187" s="460" customFormat="1"/>
    <row r="188" s="460" customFormat="1"/>
    <row r="189" s="460" customFormat="1"/>
    <row r="190" s="460" customFormat="1"/>
    <row r="191" s="460" customFormat="1"/>
    <row r="192" s="460" customFormat="1"/>
    <row r="193" s="460" customFormat="1"/>
    <row r="194" s="460" customFormat="1"/>
    <row r="195" s="460" customFormat="1"/>
    <row r="196" s="460" customFormat="1"/>
    <row r="197" s="460" customFormat="1"/>
    <row r="198" s="460" customFormat="1"/>
    <row r="199" s="460" customFormat="1"/>
    <row r="200" s="460" customFormat="1"/>
    <row r="201" s="460" customFormat="1"/>
    <row r="202" s="460" customFormat="1"/>
    <row r="203" s="460" customFormat="1"/>
    <row r="204" s="460" customFormat="1"/>
    <row r="205" s="460" customFormat="1"/>
    <row r="206" s="460" customFormat="1"/>
    <row r="207" s="460" customFormat="1"/>
    <row r="208" s="460" customFormat="1"/>
    <row r="209" s="460" customFormat="1"/>
    <row r="210" s="460" customFormat="1"/>
    <row r="211" s="460" customFormat="1"/>
    <row r="212" s="460" customFormat="1"/>
    <row r="213" s="460" customFormat="1"/>
    <row r="214" s="460" customFormat="1"/>
    <row r="215" s="460" customFormat="1"/>
    <row r="216" s="460" customFormat="1"/>
    <row r="217" s="460" customFormat="1"/>
    <row r="218" s="460" customFormat="1"/>
    <row r="219" s="460" customFormat="1"/>
    <row r="220" s="460" customFormat="1"/>
    <row r="221" s="460" customFormat="1"/>
    <row r="222" s="460" customFormat="1"/>
    <row r="223" s="460" customFormat="1"/>
    <row r="224" s="460" customFormat="1"/>
    <row r="225" s="460" customFormat="1"/>
    <row r="226" s="460" customFormat="1"/>
    <row r="227" s="460" customFormat="1"/>
    <row r="228" s="460" customFormat="1"/>
    <row r="229" s="460" customFormat="1"/>
    <row r="230" s="460" customFormat="1"/>
    <row r="231" s="460" customFormat="1"/>
    <row r="232" s="460" customFormat="1"/>
    <row r="233" s="460" customFormat="1"/>
    <row r="234" s="460" customFormat="1"/>
    <row r="235" s="460" customFormat="1"/>
    <row r="236" s="460" customFormat="1"/>
    <row r="237" s="460" customFormat="1"/>
    <row r="238" s="460" customFormat="1"/>
    <row r="239" s="460" customFormat="1"/>
    <row r="240" s="460" customFormat="1"/>
    <row r="241" s="460" customFormat="1"/>
    <row r="242" s="460" customFormat="1"/>
    <row r="243" s="460" customFormat="1"/>
    <row r="244" s="460" customFormat="1"/>
    <row r="245" s="460" customFormat="1"/>
    <row r="246" s="460" customFormat="1"/>
    <row r="247" s="460" customFormat="1"/>
    <row r="248" s="460" customFormat="1"/>
    <row r="249" s="460" customFormat="1"/>
    <row r="250" s="460" customFormat="1"/>
    <row r="251" s="460" customFormat="1"/>
    <row r="252" s="460" customFormat="1"/>
    <row r="253" s="460" customFormat="1"/>
    <row r="254" s="460" customFormat="1"/>
    <row r="255" s="460" customFormat="1"/>
    <row r="256" s="460" customFormat="1"/>
    <row r="257" s="460" customFormat="1"/>
    <row r="258" s="460" customFormat="1"/>
    <row r="259" s="460" customFormat="1"/>
    <row r="260" s="460" customFormat="1"/>
    <row r="261" s="460" customFormat="1"/>
    <row r="262" s="460" customFormat="1"/>
    <row r="263" s="460" customFormat="1"/>
    <row r="264" s="460" customFormat="1"/>
    <row r="265" s="460" customFormat="1"/>
    <row r="266" s="460" customFormat="1"/>
    <row r="267" s="460" customFormat="1"/>
    <row r="268" s="460" customFormat="1"/>
    <row r="269" s="460" customFormat="1"/>
    <row r="270" s="460" customFormat="1"/>
    <row r="271" s="460" customFormat="1"/>
    <row r="272" s="460" customFormat="1"/>
    <row r="273" s="460" customFormat="1"/>
    <row r="274" s="460" customFormat="1"/>
    <row r="275" s="460" customFormat="1"/>
    <row r="276" s="460" customFormat="1"/>
    <row r="277" s="460" customFormat="1"/>
    <row r="278" s="460" customFormat="1"/>
    <row r="279" s="460" customFormat="1"/>
    <row r="280" s="460" customFormat="1"/>
    <row r="281" s="460" customFormat="1"/>
    <row r="282" s="460" customFormat="1"/>
    <row r="283" s="460" customFormat="1"/>
    <row r="284" s="460" customFormat="1"/>
    <row r="285" s="460" customFormat="1"/>
    <row r="286" s="460" customFormat="1"/>
    <row r="287" s="460" customFormat="1"/>
    <row r="288" s="460" customFormat="1"/>
    <row r="289" s="460" customFormat="1"/>
    <row r="290" s="460" customFormat="1"/>
    <row r="291" s="460" customFormat="1"/>
    <row r="292" s="460" customFormat="1"/>
    <row r="293" s="460" customFormat="1"/>
    <row r="294" s="460" customFormat="1"/>
    <row r="295" s="460" customFormat="1"/>
    <row r="296" s="460" customFormat="1"/>
    <row r="297" s="460" customFormat="1"/>
    <row r="298" s="460" customFormat="1"/>
    <row r="299" s="460" customFormat="1"/>
    <row r="300" s="460" customFormat="1"/>
    <row r="301" s="460" customFormat="1"/>
    <row r="302" s="460" customFormat="1"/>
    <row r="303" s="460" customFormat="1"/>
    <row r="304" s="460" customFormat="1"/>
    <row r="305" s="460" customFormat="1"/>
    <row r="306" s="460" customFormat="1"/>
    <row r="307" s="460" customFormat="1"/>
    <row r="308" s="460" customFormat="1"/>
    <row r="309" s="460" customFormat="1"/>
    <row r="310" s="460" customFormat="1"/>
    <row r="311" s="460" customFormat="1"/>
    <row r="312" s="460" customFormat="1"/>
    <row r="313" s="460" customFormat="1"/>
    <row r="314" s="460" customFormat="1"/>
    <row r="315" s="460" customFormat="1"/>
    <row r="316" s="460" customFormat="1"/>
    <row r="317" s="460" customFormat="1"/>
    <row r="318" s="460" customFormat="1"/>
    <row r="319" s="460" customFormat="1"/>
    <row r="320" s="460" customFormat="1"/>
    <row r="321" s="460" customFormat="1"/>
    <row r="322" s="460" customFormat="1"/>
    <row r="323" s="460" customFormat="1"/>
    <row r="324" s="460" customFormat="1"/>
    <row r="325" s="460" customFormat="1"/>
    <row r="326" s="460" customFormat="1"/>
    <row r="327" s="460" customFormat="1"/>
    <row r="328" s="460" customFormat="1"/>
    <row r="329" s="460" customFormat="1"/>
    <row r="330" s="460" customFormat="1"/>
    <row r="331" s="460" customFormat="1"/>
    <row r="332" s="460" customFormat="1"/>
    <row r="333" s="460" customFormat="1"/>
    <row r="334" s="460" customFormat="1"/>
    <row r="335" s="460" customFormat="1"/>
    <row r="336" s="460" customFormat="1"/>
    <row r="337" s="460" customFormat="1"/>
    <row r="338" s="460" customFormat="1"/>
    <row r="339" s="460" customFormat="1"/>
    <row r="340" s="460" customFormat="1"/>
    <row r="341" s="460" customFormat="1"/>
    <row r="342" s="460" customFormat="1"/>
    <row r="343" s="460" customFormat="1"/>
    <row r="344" s="460" customFormat="1"/>
    <row r="345" s="460" customFormat="1"/>
    <row r="346" s="460" customFormat="1"/>
    <row r="347" s="460" customFormat="1"/>
    <row r="348" s="460" customFormat="1"/>
    <row r="349" s="460" customFormat="1"/>
    <row r="350" s="460" customFormat="1"/>
    <row r="351" s="460" customFormat="1"/>
    <row r="352" s="460" customFormat="1"/>
    <row r="353" spans="2:8" s="460" customFormat="1"/>
    <row r="354" spans="2:8" s="460" customFormat="1"/>
    <row r="355" spans="2:8" s="460" customFormat="1"/>
    <row r="356" spans="2:8" s="460" customFormat="1"/>
    <row r="357" spans="2:8" s="460" customFormat="1"/>
    <row r="358" spans="2:8" s="460" customFormat="1">
      <c r="D358"/>
    </row>
    <row r="359" spans="2:8">
      <c r="B359" s="460"/>
      <c r="C359" s="460"/>
      <c r="E359" s="460"/>
      <c r="F359" s="460"/>
      <c r="G359" s="460"/>
      <c r="H359" s="460"/>
    </row>
  </sheetData>
  <sheetProtection algorithmName="SHA-512" hashValue="lGvpY/OeBxiigeFT4oi2KEvqFPHZNV5pxbS0V8nOYgoy/iCzZH70zIC1pPkgJGNZYYZtnhRUtJiNXVTbwAM02g==" saltValue="qGnmU6BtGGEEP2uCaICRcg==" spinCount="100000" sheet="1" objects="1" scenarios="1" selectLockedCells="1"/>
  <phoneticPr fontId="8" type="noConversion"/>
  <conditionalFormatting sqref="C75:C76">
    <cfRule type="cellIs" dxfId="5" priority="1" operator="lessThan">
      <formula>0</formula>
    </cfRule>
  </conditionalFormatting>
  <dataValidations count="8">
    <dataValidation type="list" allowBlank="1" showInputMessage="1" showErrorMessage="1" sqref="D27 D25" xr:uid="{C2CF9409-A270-DB47-8547-2D1B6985602C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18AE733C-7F46-9946-ACAB-7914FD730588}">
      <formula1>0</formula1>
      <formula2>100</formula2>
    </dataValidation>
    <dataValidation allowBlank="1" showInputMessage="1" showErrorMessage="1" promptTitle="Enter number of days " prompt="Enter number of days paid leave offered to staff per year (not including holidays where program is closed)" sqref="D29" xr:uid="{38DE5AB1-75D8-9E49-87E4-584A9244F140}"/>
    <dataValidation type="list" allowBlank="1" showInputMessage="1" showErrorMessage="1" sqref="G3" xr:uid="{288D963A-4F40-9549-9E88-550E7FA9FA68}">
      <formula1>$I$3</formula1>
    </dataValidation>
    <dataValidation allowBlank="1" showDropDown="1" showInputMessage="1" showErrorMessage="1" sqref="D24" xr:uid="{B6058394-7B71-AB45-885C-0031A86809C1}"/>
    <dataValidation type="list" allowBlank="1" showInputMessage="1" showErrorMessage="1" sqref="G2" xr:uid="{3144886A-8CEE-5A4C-B6ED-32A3B8AC0C01}">
      <formula1>$I$2:$L$2</formula1>
    </dataValidation>
    <dataValidation type="list" allowBlank="1" showInputMessage="1" showErrorMessage="1" sqref="C16" xr:uid="{6531F0FA-A406-104F-ABCE-8D36F9069EDB}">
      <formula1>$E$16:$F$16</formula1>
    </dataValidation>
    <dataValidation type="list" allowBlank="1" showInputMessage="1" showErrorMessage="1" sqref="C17" xr:uid="{2D44ED55-CEEA-DF4D-A8E4-75B9D6A2694F}">
      <formula1>$E$17:$G$17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5"/>
  <sheetViews>
    <sheetView topLeftCell="A27" zoomScale="110" zoomScaleNormal="110" workbookViewId="0">
      <selection activeCell="B65" sqref="B65"/>
    </sheetView>
  </sheetViews>
  <sheetFormatPr baseColWidth="10" defaultColWidth="8.83203125" defaultRowHeight="13"/>
  <cols>
    <col min="1" max="1" width="11" customWidth="1"/>
    <col min="2" max="2" width="44.5" customWidth="1"/>
    <col min="3" max="3" width="11.16406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19" width="11.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70</v>
      </c>
      <c r="B1" s="37"/>
      <c r="C1" s="2"/>
      <c r="D1" s="2"/>
      <c r="E1" s="2" t="str">
        <f>IF(RatioOpt='VariablesINPUT-CTR'!I2,"Licensing/Star 2",IF(RatioOpt='VariablesINPUT-CTR'!J2,"Star 2+/3",IF(RatioOpt='VariablesINPUT-CTR'!K2,"Star 4",IF(RatioOpt='VariablesINPUT-CTR'!L2,"Star 5",0))))</f>
        <v>Licensing/Star 2</v>
      </c>
      <c r="F1" s="2"/>
      <c r="G1" s="2"/>
    </row>
    <row r="2" spans="1:28">
      <c r="A2" s="5"/>
      <c r="B2" s="5" t="s">
        <v>71</v>
      </c>
      <c r="E2" s="3"/>
      <c r="F2" t="s">
        <v>72</v>
      </c>
    </row>
    <row r="3" spans="1:28">
      <c r="A3" s="5"/>
      <c r="B3" s="5" t="s">
        <v>73</v>
      </c>
      <c r="E3" s="27"/>
      <c r="F3" t="s">
        <v>74</v>
      </c>
    </row>
    <row r="4" spans="1:28">
      <c r="A4" s="23" t="s">
        <v>75</v>
      </c>
      <c r="B4" s="24"/>
      <c r="C4" s="24"/>
      <c r="D4" s="24"/>
      <c r="E4" s="24"/>
      <c r="F4" s="24"/>
      <c r="G4" s="24"/>
      <c r="H4" s="26"/>
      <c r="I4" s="26"/>
    </row>
    <row r="5" spans="1:28" ht="14" thickBot="1">
      <c r="K5" s="193" t="s">
        <v>76</v>
      </c>
      <c r="L5" s="5"/>
      <c r="M5" s="5"/>
      <c r="N5" s="5"/>
      <c r="O5" s="5"/>
      <c r="P5" s="5"/>
    </row>
    <row r="6" spans="1:28" ht="25.5" customHeight="1">
      <c r="B6" s="2" t="s">
        <v>11</v>
      </c>
      <c r="C6" t="s">
        <v>77</v>
      </c>
      <c r="D6" s="9" t="s">
        <v>0</v>
      </c>
      <c r="E6" s="29" t="s">
        <v>78</v>
      </c>
      <c r="F6" t="s">
        <v>79</v>
      </c>
      <c r="H6" s="86" t="s">
        <v>80</v>
      </c>
      <c r="I6" s="2" t="s">
        <v>81</v>
      </c>
      <c r="J6" s="20"/>
      <c r="K6" s="194" t="s">
        <v>82</v>
      </c>
      <c r="L6" s="194" t="s">
        <v>83</v>
      </c>
      <c r="M6" s="194" t="s">
        <v>84</v>
      </c>
      <c r="N6" s="194" t="s">
        <v>85</v>
      </c>
      <c r="O6" s="194" t="s">
        <v>86</v>
      </c>
      <c r="P6" s="437" t="s">
        <v>87</v>
      </c>
      <c r="Q6" s="437" t="s">
        <v>88</v>
      </c>
      <c r="R6" s="437" t="s">
        <v>89</v>
      </c>
      <c r="S6" s="194" t="s">
        <v>90</v>
      </c>
      <c r="T6" s="194" t="s">
        <v>91</v>
      </c>
      <c r="U6" s="194" t="s">
        <v>92</v>
      </c>
      <c r="V6" s="194" t="s">
        <v>13</v>
      </c>
      <c r="W6" s="194" t="s">
        <v>93</v>
      </c>
      <c r="X6" s="225" t="s">
        <v>94</v>
      </c>
      <c r="Y6" s="228" t="s">
        <v>95</v>
      </c>
      <c r="Z6" s="332"/>
      <c r="AA6" s="231" t="s">
        <v>96</v>
      </c>
    </row>
    <row r="7" spans="1:28" ht="17" customHeight="1">
      <c r="A7">
        <f>C7*F7</f>
        <v>12</v>
      </c>
      <c r="B7" s="29" t="str">
        <f>'VariablesINPUT-CTR'!D8</f>
        <v>Infantes</v>
      </c>
      <c r="C7" s="211">
        <f>'VariablesINPUT-CTR'!F8</f>
        <v>12</v>
      </c>
      <c r="D7" s="212">
        <f>'VariablesINPUT-CTR'!E8</f>
        <v>6</v>
      </c>
      <c r="E7" s="17">
        <f>IF(Infants&gt;0,(ROUND(SUM(Infants/D7),1)),"0")</f>
        <v>2</v>
      </c>
      <c r="F7" s="329">
        <f>'VariablesINPUT-CTR'!G8</f>
        <v>1</v>
      </c>
      <c r="G7" s="29" t="str">
        <f>B7</f>
        <v>Infantes</v>
      </c>
      <c r="H7" s="36">
        <f>AA7</f>
        <v>14895.461095499499</v>
      </c>
      <c r="I7" s="446">
        <f>H7/12</f>
        <v>1241.2884246249582</v>
      </c>
      <c r="J7" s="33"/>
      <c r="K7" s="213">
        <f>Admin_Staff/TotalChildren</f>
        <v>1316.9784541963636</v>
      </c>
      <c r="L7" s="213">
        <f>IF(Infants&gt;0,(SUM((D23/A23)*F7,((E7-F7)*(D24/A24)))/Infants),"0")</f>
        <v>6195.0199999999995</v>
      </c>
      <c r="M7" s="213">
        <f>IF(Infants&gt;0,(SUM(D$27:D$28))/TotalClassrooms/Infants*InfantClassrooms,"0")</f>
        <v>832</v>
      </c>
      <c r="N7" s="213">
        <f>SUM(MandatoryBenefits,AdditionalBenefits)/TotalChildren</f>
        <v>1302.2674772463852</v>
      </c>
      <c r="O7" s="213">
        <f>IF(Infants&gt;0,(Subs/TotalClassrooms/Infants*InfantClassrooms),"0")</f>
        <v>518</v>
      </c>
      <c r="P7" s="217">
        <f>NP_EdProgram/TotalChildren</f>
        <v>1470.2712563636364</v>
      </c>
      <c r="Q7" s="217">
        <f>IF(Infants&gt;0,(NP_Occupancy/TotalClassrooms/Infants*InfantClassrooms),"0")</f>
        <v>1946.4180555555552</v>
      </c>
      <c r="R7" s="217">
        <f>NP_MgtAdmin/TotalChildren</f>
        <v>120.83900984615384</v>
      </c>
      <c r="S7" s="217">
        <v>0</v>
      </c>
      <c r="T7" s="218">
        <f>IF(Infants&gt;0,(SUM(D$53/TotalClassrooms)/Infants),"0")</f>
        <v>0</v>
      </c>
      <c r="U7" s="218">
        <f>D$56/TotalChildren</f>
        <v>462.38742494520926</v>
      </c>
      <c r="V7" s="218">
        <f>SUM((GRT-D$73)/TotalChildren)</f>
        <v>109.21128087272723</v>
      </c>
      <c r="W7" s="195">
        <f>SUM(K7:V7)</f>
        <v>14273.39295902603</v>
      </c>
      <c r="X7" s="226">
        <f>W7*Infants</f>
        <v>171280.71550831237</v>
      </c>
      <c r="Y7" s="229">
        <f>A7/SUM(TotalChildren-Schoolagers)*Y11</f>
        <v>7464.8176376816145</v>
      </c>
      <c r="Z7" s="33">
        <f>SUM(X7:Y7)</f>
        <v>178745.53314599398</v>
      </c>
      <c r="AA7" s="232">
        <f>IF(Infants&gt;0,(Z7/Infants),"0")</f>
        <v>14895.461095499499</v>
      </c>
    </row>
    <row r="8" spans="1:28" ht="16" customHeight="1">
      <c r="A8">
        <f>C8*F8</f>
        <v>20</v>
      </c>
      <c r="B8" s="29" t="str">
        <f>'VariablesINPUT-CTR'!D9</f>
        <v>niños de dos años</v>
      </c>
      <c r="C8" s="211">
        <f>'VariablesINPUT-CTR'!F9</f>
        <v>20</v>
      </c>
      <c r="D8" s="212">
        <f>'VariablesINPUT-CTR'!E9</f>
        <v>10</v>
      </c>
      <c r="E8" s="17">
        <f>IF(Toddlers&gt;0,(ROUND(SUM(Toddlers/D8),1)),"0")</f>
        <v>2</v>
      </c>
      <c r="F8" s="329">
        <f>'VariablesINPUT-CTR'!G9</f>
        <v>1</v>
      </c>
      <c r="G8" s="29" t="str">
        <f>B8</f>
        <v>niños de dos años</v>
      </c>
      <c r="H8" s="36">
        <f t="shared" ref="H8:H11" si="0">AA8</f>
        <v>11098.885873277275</v>
      </c>
      <c r="I8" s="446">
        <f>H8/12</f>
        <v>924.90715610643963</v>
      </c>
      <c r="J8" s="72"/>
      <c r="K8" s="213">
        <f>Admin_Staff/TotalChildren</f>
        <v>1316.9784541963636</v>
      </c>
      <c r="L8" s="213">
        <f>IF(Toddlers&gt;0,(SUM((D23/A23)*F8,((E8-F8)*(D24/A24)))/Toddlers),"0")</f>
        <v>3717.0119999999997</v>
      </c>
      <c r="M8" s="213">
        <f>IF(Toddlers&gt;0,(SUM(D$27:D$28))/TotalClassrooms/Toddlers*ToddlerClassrooms,"0")</f>
        <v>499.2</v>
      </c>
      <c r="N8" s="213">
        <f>SUM(MandatoryBenefits,AdditionalBenefits)/TotalChildren</f>
        <v>1302.2674772463852</v>
      </c>
      <c r="O8" s="213">
        <f>IF(Toddlers&gt;0,(Subs/TotalClassrooms/Toddlers*ToddlerClassrooms),"0")</f>
        <v>310.8</v>
      </c>
      <c r="P8" s="217">
        <f>NP_EdProgram/TotalChildren</f>
        <v>1470.2712563636364</v>
      </c>
      <c r="Q8" s="217">
        <f>IF(Toddlers&gt;0,(NP_Occupancy/TotalClassrooms/Toddlers*ToddlerClassrooms),"0")</f>
        <v>1167.8508333333332</v>
      </c>
      <c r="R8" s="217">
        <f>NP_MgtAdmin/TotalChildren</f>
        <v>120.83900984615384</v>
      </c>
      <c r="S8" s="217">
        <v>0</v>
      </c>
      <c r="T8" s="218">
        <f>IF(Toddlers&gt;0,(SUM(D$53/TotalClassrooms)/Toddlers),"0")</f>
        <v>0</v>
      </c>
      <c r="U8" s="218">
        <f>D$56/TotalChildren</f>
        <v>462.38742494520926</v>
      </c>
      <c r="V8" s="218">
        <f>SUM((GRT-D$73)/TotalChildren)</f>
        <v>109.21128087272723</v>
      </c>
      <c r="W8" s="195">
        <f>SUM(K8:V8)</f>
        <v>10476.817736803809</v>
      </c>
      <c r="X8" s="226">
        <f>W8*Toddlers</f>
        <v>209536.35473607617</v>
      </c>
      <c r="Y8" s="229">
        <f>A8/SUM(TotalChildren-Schoolagers)*Y11</f>
        <v>12441.362729469358</v>
      </c>
      <c r="Z8" s="33">
        <f>SUM(X8:Y8)</f>
        <v>221977.71746554552</v>
      </c>
      <c r="AA8" s="232">
        <f>IF(Toddlers&gt;0,(Z8/Toddlers),"0")</f>
        <v>11098.885873277275</v>
      </c>
    </row>
    <row r="9" spans="1:28" ht="14" customHeight="1">
      <c r="A9">
        <f>C9*F9</f>
        <v>24</v>
      </c>
      <c r="B9" s="29" t="str">
        <f>'VariablesINPUT-CTR'!D10</f>
        <v>niños de tres años</v>
      </c>
      <c r="C9" s="211">
        <f>'VariablesINPUT-CTR'!F10</f>
        <v>24</v>
      </c>
      <c r="D9" s="212">
        <f>'VariablesINPUT-CTR'!E10</f>
        <v>12</v>
      </c>
      <c r="E9" s="17">
        <f>IF(A9&gt;0,(ROUND(SUM(A9/D9),1)),"0")</f>
        <v>2</v>
      </c>
      <c r="F9" s="329">
        <f>'VariablesINPUT-CTR'!G10</f>
        <v>1</v>
      </c>
      <c r="G9" s="29" t="str">
        <f>B9</f>
        <v>niños de tres años</v>
      </c>
      <c r="H9" s="36">
        <f t="shared" si="0"/>
        <v>10149.742067721718</v>
      </c>
      <c r="I9" s="446">
        <f>H9/12</f>
        <v>845.81183897680978</v>
      </c>
      <c r="J9" s="72"/>
      <c r="K9" s="213">
        <f>Admin_Staff/TotalChildren</f>
        <v>1316.9784541963636</v>
      </c>
      <c r="L9" s="213">
        <f>IF(Pre3Children&gt;0,(SUM((D23/A23)*F9,((E9-F9)*(D24/A24)))/Pre3Children),"0")</f>
        <v>3097.5099999999998</v>
      </c>
      <c r="M9" s="213">
        <f>IF(Pre3Children&gt;0,(SUM(D$27:D$28))/TotalClassrooms/Pre3Children*PreschoolersClassroom,"0")</f>
        <v>416</v>
      </c>
      <c r="N9" s="213">
        <f>SUM(MandatoryBenefits,AdditionalBenefits)/TotalChildren</f>
        <v>1302.2674772463852</v>
      </c>
      <c r="O9" s="213">
        <f>IF(Pre3Children&gt;0,(Subs/TotalClassrooms/Pre3Children*PreschoolersClassroom),"0")</f>
        <v>259</v>
      </c>
      <c r="P9" s="217">
        <f>NP_EdProgram/TotalChildren</f>
        <v>1470.2712563636364</v>
      </c>
      <c r="Q9" s="217">
        <f>IF(Pre3Children&gt;0,(NP_Occupancy/TotalClassrooms/Pre3Children*PreschoolersClassroom),"0")</f>
        <v>973.20902777777758</v>
      </c>
      <c r="R9" s="217">
        <f>NP_MgtAdmin/TotalChildren</f>
        <v>120.83900984615384</v>
      </c>
      <c r="S9" s="217">
        <v>0</v>
      </c>
      <c r="T9" s="218">
        <f>IF(Pre3Children&gt;0,(SUM(D$53/TotalClassrooms)/Pre3Children),"0")</f>
        <v>0</v>
      </c>
      <c r="U9" s="218">
        <f>D$56/TotalChildren</f>
        <v>462.38742494520926</v>
      </c>
      <c r="V9" s="218">
        <f>SUM((GRT-D$73)/TotalChildren)</f>
        <v>109.21128087272723</v>
      </c>
      <c r="W9" s="195">
        <f>SUM(K9:V9)</f>
        <v>9527.6739312482514</v>
      </c>
      <c r="X9" s="226">
        <f>W9*Pre3Children</f>
        <v>228664.17434995802</v>
      </c>
      <c r="Y9" s="229">
        <f>A9/SUM(TotalChildren-Schoolagers)*Y11</f>
        <v>14929.635275363229</v>
      </c>
      <c r="Z9" s="33">
        <f>SUM(X9:Y9)</f>
        <v>243593.80962532124</v>
      </c>
      <c r="AA9" s="232">
        <f>IF(A9&gt;0,(Z9/A9),"0")</f>
        <v>10149.742067721718</v>
      </c>
    </row>
    <row r="10" spans="1:28" ht="14" customHeight="1">
      <c r="A10">
        <f>C10*F10</f>
        <v>24</v>
      </c>
      <c r="B10" s="29" t="str">
        <f>'VariablesINPUT-CTR'!D11</f>
        <v>niños de cuatro años</v>
      </c>
      <c r="C10" s="211">
        <f>'VariablesINPUT-CTR'!F11</f>
        <v>24</v>
      </c>
      <c r="D10" s="212">
        <f>'VariablesINPUT-CTR'!E11</f>
        <v>12</v>
      </c>
      <c r="E10" s="17">
        <f>IF(Pre4Children&gt;0,(ROUND(SUM(Pre4Children/D10),1)),"0")</f>
        <v>2</v>
      </c>
      <c r="F10" s="329">
        <f>'VariablesINPUT-CTR'!G11</f>
        <v>1</v>
      </c>
      <c r="G10" s="29" t="str">
        <f>B10</f>
        <v>niños de cuatro años</v>
      </c>
      <c r="H10" s="36">
        <f t="shared" si="0"/>
        <v>10149.742067721718</v>
      </c>
      <c r="I10" s="446">
        <f>H10/12</f>
        <v>845.81183897680978</v>
      </c>
      <c r="J10" s="72"/>
      <c r="K10" s="213">
        <f>Admin_Staff/TotalChildren</f>
        <v>1316.9784541963636</v>
      </c>
      <c r="L10" s="213">
        <f>IF(Pre4Children&gt;0,(SUM((D23/A23)*F10,((E10-F10)*(D24/A24)))/Pre4Children),"0")</f>
        <v>3097.5099999999998</v>
      </c>
      <c r="M10" s="213">
        <f>IF(Pre4Children&gt;0,(SUM(D$27:D$28))/TotalClassrooms/Pre4Children*Pre4classroom,"0")</f>
        <v>416</v>
      </c>
      <c r="N10" s="213">
        <f>IF(Pre4Children&gt;0,(SUM(MandatoryBenefits,AdditionalBenefits)/TotalChildren),"0")</f>
        <v>1302.2674772463852</v>
      </c>
      <c r="O10" s="213">
        <f>IF(Pre4Children&gt;0,(Subs/TotalClassrooms/Pre4Children*Pre4classroom),"0")</f>
        <v>259</v>
      </c>
      <c r="P10" s="217">
        <f>NP_EdProgram/TotalChildren</f>
        <v>1470.2712563636364</v>
      </c>
      <c r="Q10" s="217">
        <f>IF(Pre4Children&gt;0,(NP_Occupancy/TotalClassrooms/Pre4Children*Pre4classroom),"0")</f>
        <v>973.20902777777758</v>
      </c>
      <c r="R10" s="217">
        <f>NP_MgtAdmin/TotalChildren</f>
        <v>120.83900984615384</v>
      </c>
      <c r="S10" s="217">
        <v>0</v>
      </c>
      <c r="T10" s="218">
        <f>IF(Pre4Children&gt;0,(SUM(D$53/TotalClassrooms)/Pre4Children),"0")</f>
        <v>0</v>
      </c>
      <c r="U10" s="218">
        <f>D$56/TotalChildren</f>
        <v>462.38742494520926</v>
      </c>
      <c r="V10" s="218">
        <f>SUM((GRT-D$73)/TotalChildren)</f>
        <v>109.21128087272723</v>
      </c>
      <c r="W10" s="195">
        <f>SUM(K10:V10)</f>
        <v>9527.6739312482514</v>
      </c>
      <c r="X10" s="226">
        <f>W10*Pre4Children</f>
        <v>228664.17434995802</v>
      </c>
      <c r="Y10" s="229">
        <f>A10/SUM(TotalChildren-Schoolagers)*Y11</f>
        <v>14929.635275363229</v>
      </c>
      <c r="Z10" s="33">
        <f>SUM(X10:Y10)</f>
        <v>243593.80962532124</v>
      </c>
      <c r="AA10" s="232">
        <f>IF(Pre4Children&gt;0,Z10/Pre4Children,"0")</f>
        <v>10149.742067721718</v>
      </c>
    </row>
    <row r="11" spans="1:28" ht="14" customHeight="1">
      <c r="A11">
        <f>C11*F11</f>
        <v>30</v>
      </c>
      <c r="B11" s="29" t="str">
        <f>'VariablesINPUT-CTR'!D12</f>
        <v>edad escolar</v>
      </c>
      <c r="C11" s="211">
        <f>'VariablesINPUT-CTR'!F12</f>
        <v>30</v>
      </c>
      <c r="D11" s="212">
        <f>'VariablesINPUT-CTR'!E12</f>
        <v>15</v>
      </c>
      <c r="E11" s="17">
        <f>IF(Schoolagers&gt;0,(ROUNDUP(SUM(Schoolagers/D11),0)),"0")</f>
        <v>2</v>
      </c>
      <c r="F11" s="329">
        <f>'VariablesINPUT-CTR'!G12</f>
        <v>1</v>
      </c>
      <c r="G11" s="29" t="str">
        <f>B11</f>
        <v>edad escolar</v>
      </c>
      <c r="H11" s="36">
        <f t="shared" si="0"/>
        <v>6407.244088575043</v>
      </c>
      <c r="I11" s="446">
        <f>H11/12</f>
        <v>533.93700738125358</v>
      </c>
      <c r="J11" s="72"/>
      <c r="K11" s="213">
        <f>(Admin_Staff/TotalChildren)</f>
        <v>1316.9784541963636</v>
      </c>
      <c r="L11" s="213">
        <f>IF(Schoolagers&gt;0,(SUM((D25/A25)*F11,((E11-F11)*(D26/A26)))/Schoolagers),"0")</f>
        <v>1486.8048000000001</v>
      </c>
      <c r="M11" s="213">
        <f>IF(Schoolagers&gt;0,(SUM(D$27:D$28))/TotalClassrooms/Schoolagers*SchoolageClassroom,"0")</f>
        <v>332.8</v>
      </c>
      <c r="N11" s="213">
        <f>IF(Schoolagers&gt;0,(SUM(MandatoryBenefits,AdditionalBenefits)/TotalChildren),"0")</f>
        <v>1302.2674772463852</v>
      </c>
      <c r="O11" s="213">
        <f>IF(Schoolagers&gt;0,(Subs/TotalClassrooms/Schoolagers*SchoolageClassroom),"0")</f>
        <v>207.2</v>
      </c>
      <c r="P11" s="217">
        <f>SUM(NP_EdProgram/TotalChildren)</f>
        <v>1470.2712563636364</v>
      </c>
      <c r="Q11" s="217">
        <f>IF(Schoolagers&gt;0,(NP_Occupancy/TotalClassrooms/Schoolagers*SchoolageClassroom),"0")</f>
        <v>778.56722222222209</v>
      </c>
      <c r="R11" s="217">
        <f>(NP_MgtAdmin/TotalChildren)</f>
        <v>120.83900984615384</v>
      </c>
      <c r="S11" s="217">
        <f>IF(Schoolagers&gt;0,(D52/Schoolagers),0)</f>
        <v>478.76552681159421</v>
      </c>
      <c r="T11" s="218">
        <f>IF(Schoolagers&gt;0,(SUM(D$53/TotalClassrooms)/Schoolagers),"0")</f>
        <v>0</v>
      </c>
      <c r="U11" s="218">
        <f>D$56/TotalChildren</f>
        <v>462.38742494520926</v>
      </c>
      <c r="V11" s="218">
        <f>SUM((GRT-D$73)/TotalChildren)</f>
        <v>109.21128087272723</v>
      </c>
      <c r="W11" s="195">
        <f>SUM(K11:V11)</f>
        <v>8066.092452504291</v>
      </c>
      <c r="X11" s="226">
        <f>W11*Schoolagers</f>
        <v>241982.77357512873</v>
      </c>
      <c r="Y11" s="226">
        <f>X11-Z11</f>
        <v>49765.450917877431</v>
      </c>
      <c r="Z11" s="33">
        <f>(SUM(K11,N11,M11:R11,T11:V11)*Schoolagers*60%)+(SUM(L11,S11)*Schoolagers)</f>
        <v>192217.32265725129</v>
      </c>
      <c r="AA11" s="232">
        <f>IF(Schoolagers&gt;0,(Z11/Schoolagers),"0")</f>
        <v>6407.244088575043</v>
      </c>
      <c r="AB11" s="29" t="s">
        <v>97</v>
      </c>
    </row>
    <row r="12" spans="1:28" ht="14" customHeight="1" thickBot="1">
      <c r="A12" s="51">
        <f>SUM(A7:A11)</f>
        <v>110</v>
      </c>
      <c r="B12" s="78"/>
      <c r="C12" s="79"/>
      <c r="D12" s="80"/>
      <c r="E12" s="197">
        <f>SUM(E7:E11)</f>
        <v>10</v>
      </c>
      <c r="F12" s="51">
        <f>SUM(F7:F11)</f>
        <v>5</v>
      </c>
      <c r="H12" s="11"/>
      <c r="I12" s="29"/>
      <c r="J12" s="33"/>
      <c r="K12" s="196">
        <f t="shared" ref="K12:U12" si="1">SUM(K7*Infants,K8*Toddlers,K9*Pre3Children,K10*Pre4Children,K11*Schoolagers)</f>
        <v>144867.6299616</v>
      </c>
      <c r="L12" s="196">
        <f>SUM(L7*Infants,L8*Toddlers,L9*Pre3Children,L10*Pre4Children,L11*Schoolagers)</f>
        <v>341965.10399999993</v>
      </c>
      <c r="M12" s="196">
        <f t="shared" si="1"/>
        <v>49920</v>
      </c>
      <c r="N12" s="196">
        <f t="shared" si="1"/>
        <v>143249.42249710235</v>
      </c>
      <c r="O12" s="196">
        <f t="shared" si="1"/>
        <v>31080</v>
      </c>
      <c r="P12" s="196">
        <f t="shared" si="1"/>
        <v>161729.8382</v>
      </c>
      <c r="Q12" s="196">
        <f t="shared" si="1"/>
        <v>116785.08333333331</v>
      </c>
      <c r="R12" s="196">
        <f t="shared" si="1"/>
        <v>13292.291083076921</v>
      </c>
      <c r="S12" s="196">
        <f t="shared" si="1"/>
        <v>14362.965804347827</v>
      </c>
      <c r="T12" s="196">
        <f t="shared" si="1"/>
        <v>0</v>
      </c>
      <c r="U12" s="196">
        <f t="shared" si="1"/>
        <v>50862.61674397302</v>
      </c>
      <c r="V12" s="196">
        <f>SUM(V7*Infants,V8*Toddlers,V9*Pre3Children,V10*Pre4Children,V11*Schoolagers)</f>
        <v>12013.240895999996</v>
      </c>
      <c r="W12" s="196">
        <f>SUM(W7*Infants,W8*Toddlers,W9*Pre3Children,W10*Pre4Children,W11*Schoolagers)</f>
        <v>1080128.1925194333</v>
      </c>
      <c r="X12" s="227">
        <f>SUM(X7:X11)</f>
        <v>1080128.1925194333</v>
      </c>
      <c r="Z12" s="227">
        <f>SUM(Z7:Z11)</f>
        <v>1080128.1925194333</v>
      </c>
      <c r="AA12" s="230"/>
    </row>
    <row r="13" spans="1:28" ht="26" customHeight="1">
      <c r="B13" s="29"/>
      <c r="F13" s="331">
        <v>0.2</v>
      </c>
      <c r="G13" s="622" t="s">
        <v>98</v>
      </c>
      <c r="H13" s="622"/>
      <c r="I13" s="622"/>
      <c r="K13" s="63"/>
      <c r="L13" s="204"/>
      <c r="M13" s="204"/>
      <c r="N13" s="74"/>
      <c r="O13" s="15"/>
      <c r="P13" s="29"/>
      <c r="Q13" s="29"/>
      <c r="Z13" s="20"/>
    </row>
    <row r="14" spans="1:28">
      <c r="F14" s="1"/>
      <c r="K14" s="334"/>
      <c r="L14" s="334"/>
      <c r="M14" s="334"/>
      <c r="N14" s="334"/>
      <c r="O14" s="334"/>
      <c r="P14" s="334"/>
      <c r="Q14" s="334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8">
      <c r="F15" s="1"/>
      <c r="G15" s="204"/>
      <c r="H15" s="204"/>
      <c r="I15" s="204"/>
      <c r="K15" s="442">
        <v>0</v>
      </c>
      <c r="L15" s="29" t="s">
        <v>430</v>
      </c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Z15" s="20"/>
    </row>
    <row r="16" spans="1:28">
      <c r="B16" s="2" t="s">
        <v>99</v>
      </c>
      <c r="D16" s="19" t="s">
        <v>100</v>
      </c>
      <c r="E16" s="19" t="s">
        <v>101</v>
      </c>
      <c r="G16" s="204"/>
      <c r="H16" s="204"/>
      <c r="I16" s="204"/>
      <c r="J16" s="11"/>
      <c r="K16" s="63"/>
      <c r="L16" s="29"/>
      <c r="M16" s="29"/>
      <c r="N16" s="63"/>
      <c r="O16" s="15"/>
      <c r="P16" s="29"/>
      <c r="Q16" s="29"/>
    </row>
    <row r="17" spans="1:18">
      <c r="A17" s="35">
        <f>SUM(A18:A28)</f>
        <v>14.6</v>
      </c>
      <c r="B17" s="2" t="s">
        <v>102</v>
      </c>
      <c r="C17" s="4"/>
      <c r="E17" s="29" t="s">
        <v>2</v>
      </c>
      <c r="F17" s="302" t="s">
        <v>1</v>
      </c>
      <c r="G17" s="303" t="s">
        <v>3</v>
      </c>
      <c r="H17" s="302" t="s">
        <v>4</v>
      </c>
      <c r="I17" s="38"/>
      <c r="K17" s="29" t="s">
        <v>2</v>
      </c>
      <c r="L17" s="302" t="s">
        <v>1</v>
      </c>
      <c r="M17" s="303" t="s">
        <v>3</v>
      </c>
      <c r="N17" s="302" t="s">
        <v>4</v>
      </c>
      <c r="O17" s="63"/>
      <c r="P17" s="15"/>
      <c r="Q17" s="29"/>
      <c r="R17" s="29"/>
    </row>
    <row r="18" spans="1:18">
      <c r="A18" s="64">
        <f>IF(A12&gt;0,1)</f>
        <v>1</v>
      </c>
      <c r="B18" s="29" t="s">
        <v>103</v>
      </c>
      <c r="C18" s="11"/>
      <c r="D18" s="11">
        <f>IF(E$1="Star 2+/3",(A18*F18+L18),
IF(E$1="Star 4",(A18*G18+M18),
IF(E$1="Star 5",(A18*H18+N18),
(A18*E18+K18))))</f>
        <v>63148.683312000001</v>
      </c>
      <c r="E18" s="369">
        <f>Wages!B35</f>
        <v>63148.683312000001</v>
      </c>
      <c r="F18" s="369">
        <f>Wages!C35</f>
        <v>63148.683312000001</v>
      </c>
      <c r="G18" s="369">
        <f>Wages!D35</f>
        <v>69463.5516432</v>
      </c>
      <c r="H18" s="369">
        <f>Wages!E35</f>
        <v>75778.419974399992</v>
      </c>
      <c r="I18" s="38"/>
      <c r="K18" s="369">
        <f>SUM($K$15*E18)</f>
        <v>0</v>
      </c>
      <c r="L18" s="369">
        <f t="shared" ref="L18:N20" si="2">SUM($K$15*F18)</f>
        <v>0</v>
      </c>
      <c r="M18" s="369">
        <f t="shared" si="2"/>
        <v>0</v>
      </c>
      <c r="N18" s="369">
        <f t="shared" si="2"/>
        <v>0</v>
      </c>
      <c r="O18" s="29"/>
      <c r="P18" s="29"/>
      <c r="Q18" s="29"/>
      <c r="R18" s="29"/>
    </row>
    <row r="19" spans="1:18">
      <c r="A19" s="61">
        <f>IF(TotalChildren&lt;30,0.5,1)</f>
        <v>1</v>
      </c>
      <c r="B19" s="29" t="s">
        <v>104</v>
      </c>
      <c r="C19" s="11"/>
      <c r="D19" s="11">
        <f t="shared" ref="D19:D20" si="3">IF(E$1="Star 2+/3",(A19*F19+L19),
IF(E$1="Star 4",(A19*G19+M19),
IF(E$1="Star 5",(A19*H19+N19),
(A19*E19+K19))))</f>
        <v>50518.946649600002</v>
      </c>
      <c r="E19" s="369">
        <f>Wages!B36</f>
        <v>50518.946649600002</v>
      </c>
      <c r="F19" s="369">
        <f>Wages!C36</f>
        <v>50518.946649600002</v>
      </c>
      <c r="G19" s="369">
        <f>Wages!D36</f>
        <v>55570.841314560006</v>
      </c>
      <c r="H19" s="369">
        <f>Wages!E36</f>
        <v>60622.735979520003</v>
      </c>
      <c r="I19" s="38"/>
      <c r="K19" s="369">
        <f t="shared" ref="K19:K20" si="4">SUM($K$15*E19)</f>
        <v>0</v>
      </c>
      <c r="L19" s="369">
        <f t="shared" si="2"/>
        <v>0</v>
      </c>
      <c r="M19" s="369">
        <f t="shared" si="2"/>
        <v>0</v>
      </c>
      <c r="N19" s="369">
        <f t="shared" si="2"/>
        <v>0</v>
      </c>
    </row>
    <row r="20" spans="1:18">
      <c r="A20" s="61">
        <f>IF(TotalChildren&lt;30,0.5,1)</f>
        <v>1</v>
      </c>
      <c r="B20" s="29" t="s">
        <v>105</v>
      </c>
      <c r="C20" s="11"/>
      <c r="D20" s="11">
        <f t="shared" si="3"/>
        <v>31200</v>
      </c>
      <c r="E20" s="369">
        <f>Wages!B37</f>
        <v>31200</v>
      </c>
      <c r="F20" s="369">
        <f>Wages!C37</f>
        <v>31200</v>
      </c>
      <c r="G20" s="369">
        <f>Wages!D37</f>
        <v>34320</v>
      </c>
      <c r="H20" s="369">
        <f>Wages!E37</f>
        <v>37440</v>
      </c>
      <c r="I20" s="38"/>
      <c r="K20" s="369">
        <f t="shared" si="4"/>
        <v>0</v>
      </c>
      <c r="L20" s="369">
        <f t="shared" si="2"/>
        <v>0</v>
      </c>
      <c r="M20" s="369">
        <f t="shared" si="2"/>
        <v>0</v>
      </c>
      <c r="N20" s="369">
        <f t="shared" si="2"/>
        <v>0</v>
      </c>
    </row>
    <row r="21" spans="1:18">
      <c r="A21" s="64"/>
      <c r="B21" s="32" t="s">
        <v>106</v>
      </c>
      <c r="C21" s="1"/>
      <c r="D21" s="70">
        <f>SUM(D18:D20)</f>
        <v>144867.6299616</v>
      </c>
      <c r="E21" s="70"/>
      <c r="F21" s="70"/>
      <c r="G21" s="70"/>
      <c r="H21" s="70"/>
      <c r="I21" s="38"/>
      <c r="K21" s="70"/>
      <c r="L21" s="221"/>
      <c r="M21" s="219"/>
      <c r="N21" s="222"/>
    </row>
    <row r="22" spans="1:18" ht="8.5" customHeight="1">
      <c r="A22" s="64"/>
      <c r="B22" s="32"/>
      <c r="C22" s="1"/>
      <c r="D22" s="11"/>
      <c r="E22" s="11"/>
      <c r="F22" s="11"/>
      <c r="G22" s="11"/>
      <c r="H22" s="11"/>
      <c r="I22" s="38"/>
      <c r="K22" s="11"/>
      <c r="L22" s="221"/>
      <c r="M22" s="220"/>
      <c r="N22" s="222"/>
    </row>
    <row r="23" spans="1:18">
      <c r="A23" s="61">
        <f>TotalClassrooms-SchoolageClassroom</f>
        <v>4</v>
      </c>
      <c r="B23" s="29" t="s">
        <v>107</v>
      </c>
      <c r="C23" s="11"/>
      <c r="D23" s="11">
        <f t="shared" ref="D23:D28" si="5">IF(E$1="Star 2+/3",(A23*F23+L23),
IF(E$1="Star 4",(A23*G23+M23),
IF(E$1="Star 5",(A23*H23+N23),
(A23*E23+K23))))</f>
        <v>172560.96</v>
      </c>
      <c r="E23" s="221">
        <f>Wages!B38</f>
        <v>43140.24</v>
      </c>
      <c r="F23" s="221">
        <f>Wages!C38</f>
        <v>43140.24</v>
      </c>
      <c r="G23" s="221">
        <f>Wages!D38</f>
        <v>47454.264000000003</v>
      </c>
      <c r="H23" s="221">
        <f>Wages!E38</f>
        <v>51768.287999999993</v>
      </c>
      <c r="I23" s="224"/>
      <c r="J23" s="5"/>
      <c r="K23" s="369">
        <f>SUM($K$15*E23)</f>
        <v>0</v>
      </c>
      <c r="L23" s="369">
        <f t="shared" ref="L23:L25" si="6">SUM($K$15*F23)</f>
        <v>0</v>
      </c>
      <c r="M23" s="369">
        <f t="shared" ref="M23:M25" si="7">SUM($K$15*G23)</f>
        <v>0</v>
      </c>
      <c r="N23" s="369">
        <f t="shared" ref="N23:N25" si="8">SUM($K$15*H23)</f>
        <v>0</v>
      </c>
    </row>
    <row r="24" spans="1:18">
      <c r="A24" s="61">
        <f>SUM(E12-E11)-SUM(F12-SchoolageClassroom)</f>
        <v>4</v>
      </c>
      <c r="B24" s="29" t="s">
        <v>108</v>
      </c>
      <c r="C24" s="11"/>
      <c r="D24" s="11">
        <f t="shared" si="5"/>
        <v>124800</v>
      </c>
      <c r="E24" s="221">
        <f>Wages!B39</f>
        <v>31200</v>
      </c>
      <c r="F24" s="221">
        <f>Wages!C39</f>
        <v>31200</v>
      </c>
      <c r="G24" s="221">
        <f>Wages!D39</f>
        <v>34320</v>
      </c>
      <c r="H24" s="221">
        <f>Wages!E39</f>
        <v>37440</v>
      </c>
      <c r="I24" s="38"/>
      <c r="K24" s="369">
        <f t="shared" ref="K24" si="9">SUM($K$15*E24)</f>
        <v>0</v>
      </c>
      <c r="L24" s="369">
        <f t="shared" si="6"/>
        <v>0</v>
      </c>
      <c r="M24" s="369">
        <f t="shared" si="7"/>
        <v>0</v>
      </c>
      <c r="N24" s="369">
        <f t="shared" si="8"/>
        <v>0</v>
      </c>
    </row>
    <row r="25" spans="1:18">
      <c r="A25" s="61">
        <f>SchoolageClassroom</f>
        <v>1</v>
      </c>
      <c r="B25" s="29" t="s">
        <v>109</v>
      </c>
      <c r="C25" s="11"/>
      <c r="D25" s="11">
        <f t="shared" si="5"/>
        <v>25884.143999999997</v>
      </c>
      <c r="E25" s="221">
        <f>Wages!B38*0.6</f>
        <v>25884.143999999997</v>
      </c>
      <c r="F25" s="221">
        <f>Wages!C38*0.6</f>
        <v>25884.143999999997</v>
      </c>
      <c r="G25" s="221">
        <f>Wages!D38*0.6</f>
        <v>28472.558400000002</v>
      </c>
      <c r="H25" s="221">
        <f>Wages!E38*0.6</f>
        <v>31060.972799999996</v>
      </c>
      <c r="I25" s="5"/>
      <c r="K25" s="369">
        <f>SUM($K$15*E25)</f>
        <v>0</v>
      </c>
      <c r="L25" s="369">
        <f t="shared" si="6"/>
        <v>0</v>
      </c>
      <c r="M25" s="369">
        <f t="shared" si="7"/>
        <v>0</v>
      </c>
      <c r="N25" s="369">
        <f t="shared" si="8"/>
        <v>0</v>
      </c>
    </row>
    <row r="26" spans="1:18">
      <c r="A26" s="61">
        <f>E11-SchoolageClassroom</f>
        <v>1</v>
      </c>
      <c r="B26" s="29" t="s">
        <v>110</v>
      </c>
      <c r="C26" s="11"/>
      <c r="D26" s="11">
        <f t="shared" si="5"/>
        <v>18720</v>
      </c>
      <c r="E26" s="221">
        <f>Wages!B39*0.6</f>
        <v>18720</v>
      </c>
      <c r="F26" s="221">
        <f>Wages!C39*0.6</f>
        <v>18720</v>
      </c>
      <c r="G26" s="221">
        <f>Wages!D39*0.6</f>
        <v>20592</v>
      </c>
      <c r="H26" s="221">
        <f>Wages!E39*0.6</f>
        <v>22464</v>
      </c>
      <c r="I26" s="5"/>
      <c r="K26" s="369">
        <f t="shared" ref="K26:K28" si="10">SUM($K$15*E26)</f>
        <v>0</v>
      </c>
      <c r="L26" s="369">
        <f t="shared" ref="L26:L28" si="11">SUM($K$15*F26)</f>
        <v>0</v>
      </c>
      <c r="M26" s="369">
        <f t="shared" ref="M26:M28" si="12">SUM($K$15*G26)</f>
        <v>0</v>
      </c>
      <c r="N26" s="369">
        <f t="shared" ref="N26:N27" si="13">SUM($K$15*H26)</f>
        <v>0</v>
      </c>
    </row>
    <row r="27" spans="1:18" ht="19" customHeight="1">
      <c r="A27" s="61">
        <f>SUM(E7:E10)*F13</f>
        <v>1.6</v>
      </c>
      <c r="B27" s="30" t="s">
        <v>111</v>
      </c>
      <c r="C27" s="11"/>
      <c r="D27" s="11">
        <f t="shared" si="5"/>
        <v>49920</v>
      </c>
      <c r="E27" s="221">
        <f>E24</f>
        <v>31200</v>
      </c>
      <c r="F27" s="221">
        <f t="shared" ref="F27:H27" si="14">F24</f>
        <v>31200</v>
      </c>
      <c r="G27" s="221">
        <f t="shared" si="14"/>
        <v>34320</v>
      </c>
      <c r="H27" s="221">
        <f t="shared" si="14"/>
        <v>37440</v>
      </c>
      <c r="I27" s="443">
        <f>IF(E1="Star 4",(G27/2080),IF(E1="Star 5",(H27/2080),(F27/2080)))</f>
        <v>15</v>
      </c>
      <c r="J27" s="29" t="s">
        <v>112</v>
      </c>
      <c r="K27" s="369">
        <f t="shared" si="10"/>
        <v>0</v>
      </c>
      <c r="L27" s="369">
        <f t="shared" si="11"/>
        <v>0</v>
      </c>
      <c r="M27" s="369">
        <f t="shared" si="12"/>
        <v>0</v>
      </c>
      <c r="N27" s="369">
        <f t="shared" si="13"/>
        <v>0</v>
      </c>
      <c r="O27" s="444">
        <f>I27*K15</f>
        <v>0</v>
      </c>
    </row>
    <row r="28" spans="1:18" ht="19" customHeight="1">
      <c r="A28" s="61">
        <f>(IF(E1="Licensing/Star 2",0,
IF(E1="Star 2+/3",SUM(2,(2.5*A23+A25)),
IF(E1="Star 4",SUM(3,(2.5*SUM(A23:A26))),
IF(E1="Star 5",SUM(4,(3.5*SUM(A23:A26))))))))*52/2080</f>
        <v>0</v>
      </c>
      <c r="B28" s="30" t="s">
        <v>113</v>
      </c>
      <c r="C28" s="11"/>
      <c r="D28" s="11">
        <f t="shared" si="5"/>
        <v>0</v>
      </c>
      <c r="E28" s="223">
        <f>E27</f>
        <v>31200</v>
      </c>
      <c r="F28" s="223">
        <f t="shared" ref="F28:H28" si="15">F27</f>
        <v>31200</v>
      </c>
      <c r="G28" s="223">
        <f t="shared" si="15"/>
        <v>34320</v>
      </c>
      <c r="H28" s="223">
        <f t="shared" si="15"/>
        <v>37440</v>
      </c>
      <c r="I28" s="210"/>
      <c r="J28" s="29"/>
      <c r="K28" s="369">
        <f t="shared" si="10"/>
        <v>0</v>
      </c>
      <c r="L28" s="369">
        <f t="shared" si="11"/>
        <v>0</v>
      </c>
      <c r="M28" s="369">
        <f t="shared" si="12"/>
        <v>0</v>
      </c>
      <c r="N28" s="369">
        <f>SUM($K$15*H28)</f>
        <v>0</v>
      </c>
    </row>
    <row r="29" spans="1:18">
      <c r="A29" s="71">
        <f>SUM(A23:A28)</f>
        <v>11.6</v>
      </c>
      <c r="B29" s="32" t="s">
        <v>114</v>
      </c>
      <c r="D29" s="70">
        <f>SUM(D23:D28)</f>
        <v>391885.10399999993</v>
      </c>
      <c r="F29" s="70"/>
      <c r="L29" s="11"/>
    </row>
    <row r="30" spans="1:18">
      <c r="B30" s="32" t="s">
        <v>115</v>
      </c>
      <c r="D30" s="11">
        <f>D21+D29</f>
        <v>536752.73396159988</v>
      </c>
      <c r="F30" s="11"/>
    </row>
    <row r="31" spans="1:18" ht="7.5" customHeight="1">
      <c r="B31" s="32"/>
    </row>
    <row r="32" spans="1:18">
      <c r="B32" s="29" t="s">
        <v>116</v>
      </c>
      <c r="D32" s="11">
        <f>SUM(A23:A27)*E32*8*(I27+O27)</f>
        <v>13920</v>
      </c>
      <c r="E32" s="27">
        <f>Paid_Leave</f>
        <v>10</v>
      </c>
      <c r="F32" s="29" t="s">
        <v>117</v>
      </c>
    </row>
    <row r="33" spans="2:8">
      <c r="B33" s="29" t="s">
        <v>118</v>
      </c>
      <c r="D33" s="15">
        <f>SUM(A23:A27)*E33*8*(I27+O27)</f>
        <v>13920</v>
      </c>
      <c r="E33" s="27">
        <f>Sick_Days</f>
        <v>10</v>
      </c>
      <c r="F33" s="29" t="s">
        <v>119</v>
      </c>
    </row>
    <row r="34" spans="2:8">
      <c r="B34" s="34" t="s">
        <v>120</v>
      </c>
      <c r="D34" s="392">
        <f>E34*(I27+O27)</f>
        <v>3240</v>
      </c>
      <c r="E34" s="27">
        <f>24*(A29-A20-A27-A28)</f>
        <v>216</v>
      </c>
      <c r="F34" s="29" t="s">
        <v>121</v>
      </c>
      <c r="H34" s="29"/>
    </row>
    <row r="35" spans="2:8">
      <c r="B35" s="32" t="s">
        <v>122</v>
      </c>
      <c r="D35" s="15">
        <f>SUM(D32:D34)</f>
        <v>31080</v>
      </c>
      <c r="F35" s="29"/>
    </row>
    <row r="36" spans="2:8" ht="6.5" customHeight="1">
      <c r="B36" s="32"/>
      <c r="D36" s="14"/>
      <c r="F36" s="29"/>
    </row>
    <row r="37" spans="2:8">
      <c r="B37" s="9" t="s">
        <v>123</v>
      </c>
      <c r="C37" s="12"/>
      <c r="D37" s="16">
        <f>D30+D35</f>
        <v>567832.73396159988</v>
      </c>
    </row>
    <row r="38" spans="2:8">
      <c r="B38" s="60" t="s">
        <v>124</v>
      </c>
    </row>
    <row r="39" spans="2:8">
      <c r="B39" s="29" t="s">
        <v>125</v>
      </c>
      <c r="C39" s="67">
        <v>6.2E-2</v>
      </c>
      <c r="D39" s="15">
        <f>C39*D37</f>
        <v>35205.629505619196</v>
      </c>
      <c r="G39" s="29"/>
    </row>
    <row r="40" spans="2:8" ht="12.5" customHeight="1">
      <c r="B40" t="s">
        <v>126</v>
      </c>
      <c r="C40" s="67">
        <v>1.4500000000000001E-2</v>
      </c>
      <c r="D40" s="15">
        <f>C40*D37</f>
        <v>8233.5746424431982</v>
      </c>
      <c r="F40" s="29"/>
      <c r="G40" s="22"/>
    </row>
    <row r="41" spans="2:8" ht="18.5" customHeight="1">
      <c r="B41" s="29" t="s">
        <v>127</v>
      </c>
      <c r="C41" s="94">
        <v>5.0000000000000001E-3</v>
      </c>
      <c r="D41" s="11">
        <f>C41*D37</f>
        <v>2839.1636698079997</v>
      </c>
      <c r="E41" s="73"/>
      <c r="F41" s="34"/>
    </row>
    <row r="42" spans="2:8" ht="15" customHeight="1">
      <c r="B42" t="s">
        <v>128</v>
      </c>
      <c r="C42" s="94">
        <v>0.02</v>
      </c>
      <c r="D42" s="15">
        <f>C42*D37</f>
        <v>11356.654679231999</v>
      </c>
      <c r="E42" s="73"/>
      <c r="F42" s="34"/>
    </row>
    <row r="43" spans="2:8" ht="12.5" customHeight="1">
      <c r="B43" s="9" t="s">
        <v>129</v>
      </c>
      <c r="C43" s="68">
        <f>SUM(C39:C42)</f>
        <v>0.10150000000000001</v>
      </c>
      <c r="D43" s="15">
        <f>SUM(D39:D42)</f>
        <v>57635.022497102393</v>
      </c>
      <c r="E43" s="11">
        <f>Personnel-AdditionalBenefits</f>
        <v>625467.75645870226</v>
      </c>
      <c r="F43" s="330">
        <f>E43/D58</f>
        <v>0.58558093911900655</v>
      </c>
      <c r="G43" s="22"/>
    </row>
    <row r="44" spans="2:8">
      <c r="B44" s="60" t="s">
        <v>130</v>
      </c>
      <c r="C44" s="17"/>
      <c r="D44" s="18"/>
      <c r="E44" s="11"/>
    </row>
    <row r="45" spans="2:8">
      <c r="B45" s="34" t="s">
        <v>131</v>
      </c>
      <c r="C45" s="281">
        <f>SUM(5864,5864*K15)</f>
        <v>5864</v>
      </c>
      <c r="D45" s="14">
        <f>IF(HealthIns="Yes", (Addl_benefits_per_staff*A17), 0)</f>
        <v>85614.399999999994</v>
      </c>
      <c r="E45" s="5" t="s">
        <v>428</v>
      </c>
      <c r="F45" s="5"/>
    </row>
    <row r="46" spans="2:8">
      <c r="B46" s="21" t="s">
        <v>132</v>
      </c>
      <c r="C46" s="18"/>
      <c r="D46" s="16">
        <f>D37+D43+D45</f>
        <v>711082.15645870229</v>
      </c>
      <c r="E46" s="1">
        <f>D46/D58</f>
        <v>0.66573560774327234</v>
      </c>
      <c r="F46" t="s">
        <v>133</v>
      </c>
    </row>
    <row r="47" spans="2:8">
      <c r="B47" s="21"/>
      <c r="C47" s="18"/>
      <c r="D47" s="16"/>
      <c r="E47" s="1"/>
      <c r="H47" s="32"/>
    </row>
    <row r="48" spans="2:8">
      <c r="B48" s="2" t="s">
        <v>134</v>
      </c>
      <c r="C48" s="436">
        <v>0</v>
      </c>
      <c r="D48" s="445" t="s">
        <v>430</v>
      </c>
    </row>
    <row r="49" spans="1:12" ht="14" thickBot="1">
      <c r="A49" s="66"/>
      <c r="B49" s="34" t="s">
        <v>135</v>
      </c>
      <c r="C49" s="17"/>
      <c r="D49" s="31">
        <f>SUM(((Nonpersonnel!F41*TotalChildren)*'Quality Center Profile'!C48),(Nonpersonnel!F41*TotalChildren))</f>
        <v>161729.8382</v>
      </c>
      <c r="F49" s="29" t="s">
        <v>136</v>
      </c>
    </row>
    <row r="50" spans="1:12">
      <c r="A50" s="69"/>
      <c r="B50" s="34" t="s">
        <v>137</v>
      </c>
      <c r="C50" s="62"/>
      <c r="D50" s="31">
        <f>SUM(((Nonpersonnel!F40*TotalClassrooms)*'Quality Center Profile'!C48),(Nonpersonnel!F40*TotalClassrooms))</f>
        <v>116785.08333333331</v>
      </c>
      <c r="F50" s="29" t="s">
        <v>136</v>
      </c>
      <c r="H50" s="99" t="s">
        <v>138</v>
      </c>
      <c r="I50" s="100"/>
    </row>
    <row r="51" spans="1:12">
      <c r="A51" s="66"/>
      <c r="B51" s="34" t="s">
        <v>139</v>
      </c>
      <c r="C51" s="62"/>
      <c r="D51" s="31">
        <f>SUM(((Nonpersonnel!F39*TotalChildren)*'Quality Center Profile'!C48),(Nonpersonnel!F39*TotalChildren))</f>
        <v>13292.291083076923</v>
      </c>
      <c r="E51" s="17"/>
      <c r="F51" s="29" t="s">
        <v>136</v>
      </c>
      <c r="G51" s="17"/>
      <c r="H51" s="101" t="str">
        <f>B7</f>
        <v>Infantes</v>
      </c>
      <c r="I51" s="102">
        <f>H7*Infants</f>
        <v>178745.53314599398</v>
      </c>
    </row>
    <row r="52" spans="1:12">
      <c r="A52" s="66"/>
      <c r="B52" s="34" t="s">
        <v>140</v>
      </c>
      <c r="C52" s="62"/>
      <c r="D52" s="31">
        <f>SUM(((Nonpersonnel!G61*Schoolagers)*'Quality Center Profile'!C48),(Nonpersonnel!G61*Schoolagers))</f>
        <v>14362.965804347827</v>
      </c>
      <c r="E52" s="17"/>
      <c r="F52" s="29"/>
      <c r="G52" s="17"/>
      <c r="H52" s="101" t="str">
        <f>B8</f>
        <v>niños de dos años</v>
      </c>
      <c r="I52" s="102">
        <f>H8*Toddlers</f>
        <v>221977.71746554552</v>
      </c>
    </row>
    <row r="53" spans="1:12">
      <c r="B53" s="34" t="s">
        <v>141</v>
      </c>
      <c r="C53" s="62"/>
      <c r="D53" s="31">
        <f>(Nonpersonnel!B50+Nonpersonnel!B49)</f>
        <v>0</v>
      </c>
      <c r="E53" s="17"/>
      <c r="H53" s="101" t="str">
        <f>B9</f>
        <v>niños de tres años</v>
      </c>
      <c r="I53" s="102">
        <f>H9*Pre3Children</f>
        <v>243593.80962532124</v>
      </c>
    </row>
    <row r="54" spans="1:12">
      <c r="A54" s="66"/>
      <c r="B54" s="21" t="s">
        <v>142</v>
      </c>
      <c r="C54" s="16"/>
      <c r="D54" s="65">
        <f>SUM(D49:D53)</f>
        <v>306170.17842075805</v>
      </c>
      <c r="E54" s="1">
        <f>D54/D58</f>
        <v>0.2866453446376801</v>
      </c>
      <c r="F54" t="s">
        <v>133</v>
      </c>
      <c r="H54" s="101" t="str">
        <f>B10</f>
        <v>niños de cuatro años</v>
      </c>
      <c r="I54" s="102">
        <f>H10*Pre4Children</f>
        <v>243593.80962532124</v>
      </c>
    </row>
    <row r="55" spans="1:12">
      <c r="A55" s="66"/>
      <c r="B55" s="21"/>
      <c r="C55" s="16"/>
      <c r="D55" s="65"/>
      <c r="E55" s="1"/>
      <c r="H55" s="101" t="str">
        <f>B11</f>
        <v>edad escolar</v>
      </c>
      <c r="I55" s="102">
        <f>H11*Schoolagers</f>
        <v>192217.32265725129</v>
      </c>
    </row>
    <row r="56" spans="1:12" ht="13" customHeight="1">
      <c r="A56" s="66"/>
      <c r="B56" s="10" t="s">
        <v>143</v>
      </c>
      <c r="D56" s="31">
        <f>E56*(Personnel+Nonpersonnel)</f>
        <v>50862.61674397302</v>
      </c>
      <c r="E56" s="13">
        <v>0.05</v>
      </c>
      <c r="F56" t="s">
        <v>133</v>
      </c>
      <c r="H56" s="105" t="s">
        <v>93</v>
      </c>
      <c r="I56" s="106">
        <f>SUM(I51:I55)</f>
        <v>1080128.1925194333</v>
      </c>
      <c r="K56" s="32"/>
      <c r="L56" s="11"/>
    </row>
    <row r="57" spans="1:12" ht="14" thickBot="1">
      <c r="A57" s="77"/>
      <c r="B57" s="29" t="s">
        <v>13</v>
      </c>
      <c r="C57" s="275">
        <v>0.08</v>
      </c>
      <c r="D57" s="284">
        <f>IF('VariablesINPUT-CTR'!C16='VariablesINPUT-CTR'!F16,'Quality Center Profile'!C57*'Quality Center Profile'!D72,0)</f>
        <v>12013.240895999996</v>
      </c>
      <c r="E57" s="29" t="s">
        <v>144</v>
      </c>
      <c r="G57" s="77"/>
      <c r="H57" s="103"/>
      <c r="I57" s="104">
        <f>SUM(I56,D73)-D59</f>
        <v>0</v>
      </c>
    </row>
    <row r="58" spans="1:12">
      <c r="A58" s="66"/>
      <c r="B58" s="21" t="s">
        <v>145</v>
      </c>
      <c r="D58" s="52">
        <f>SUM(Personnel,Nonpersonnel,Reserve_Fund)</f>
        <v>1068114.9516234333</v>
      </c>
      <c r="E58" s="77" t="s">
        <v>146</v>
      </c>
      <c r="F58" s="77"/>
      <c r="G58" s="12">
        <f>D58/12</f>
        <v>89009.579301952777</v>
      </c>
      <c r="H58" s="29"/>
    </row>
    <row r="59" spans="1:12">
      <c r="D59" s="379">
        <f>SUM(D57:D58)</f>
        <v>1080128.1925194333</v>
      </c>
      <c r="E59" s="5" t="s">
        <v>147</v>
      </c>
    </row>
    <row r="60" spans="1:12">
      <c r="A60" s="29" t="s">
        <v>148</v>
      </c>
      <c r="D60" s="31"/>
      <c r="G60" s="333"/>
      <c r="H60" s="333"/>
      <c r="I60" s="333"/>
      <c r="J60" s="333"/>
      <c r="K60" s="333"/>
    </row>
    <row r="61" spans="1:12" ht="14">
      <c r="A61" s="248">
        <f>SUM(A64:A65)</f>
        <v>110</v>
      </c>
      <c r="B61" s="373" t="s">
        <v>149</v>
      </c>
      <c r="C61" s="391" t="s">
        <v>150</v>
      </c>
      <c r="D61" s="372" t="s">
        <v>150</v>
      </c>
      <c r="E61" s="372" t="s">
        <v>151</v>
      </c>
      <c r="F61" s="371"/>
      <c r="G61" s="371"/>
      <c r="H61" s="371"/>
      <c r="I61" s="371"/>
      <c r="J61" s="29"/>
    </row>
    <row r="62" spans="1:12">
      <c r="A62" s="77"/>
      <c r="B62" s="247" t="s">
        <v>56</v>
      </c>
      <c r="D62" s="25"/>
      <c r="E62" s="29"/>
      <c r="I62" s="11"/>
      <c r="J62" s="29"/>
    </row>
    <row r="63" spans="1:12">
      <c r="A63" s="274">
        <f>'VariablesINPUT-CTR'!D45</f>
        <v>5</v>
      </c>
      <c r="B63" s="77" t="s">
        <v>152</v>
      </c>
      <c r="D63" s="25">
        <f>SUM(('VariablesINPUT-CTR'!C44*SUM(AVERAGE('Fed CACFP'!J7:J8)*52)),
('VariablesINPUT-CTR'!D44*('Fed CACFP'!J6)*52))</f>
        <v>32291.999999999993</v>
      </c>
      <c r="E63" s="29"/>
      <c r="F63" s="48" t="s">
        <v>153</v>
      </c>
      <c r="G63" s="48" t="s">
        <v>154</v>
      </c>
      <c r="H63" s="48" t="s">
        <v>155</v>
      </c>
      <c r="I63" s="262" t="s">
        <v>156</v>
      </c>
      <c r="J63" s="48" t="s">
        <v>10</v>
      </c>
    </row>
    <row r="64" spans="1:12">
      <c r="A64" s="274">
        <f>'VariablesINPUT-CTR'!D44</f>
        <v>105</v>
      </c>
      <c r="B64" s="77" t="s">
        <v>157</v>
      </c>
      <c r="D64" s="25">
        <f>SUM(F64:J64)*12</f>
        <v>1181815.26</v>
      </c>
      <c r="F64" s="377">
        <f>IF(AND(C61="Metro",E1="Licensing/Star 2"),('VariablesINPUT-CTR'!D39*'Tuition Rates'!C4),
IF(AND(C61="Metro",E1="Star 2+/3"),('VariablesINPUT-CTR'!D39*'Tuition Rates'!C16),
IF(AND(C61="Metro",E1="Star 4"),('VariablesINPUT-CTR'!D39*'Tuition Rates'!C22),
IF(AND(C61="Metro",E1="Star 5"),('VariablesINPUT-CTR'!D39*'Tuition Rates'!C28),
IF(AND(C61=E61,E1="Licensing/Star 2"),('VariablesINPUT-CTR'!D39*'Tuition Rates'!C35),
IF(AND(C61=E61,E1="Star 2+/3"),('VariablesINPUT-CTR'!D39*'Tuition Rates'!C47),
IF(AND(C61=E61,E1="Star 4"),('VariablesINPUT-CTR'!D39*'Tuition Rates'!C53),
IF(AND(C61=E61,RatioOpt="Star 5"),('VariablesINPUT-CTR'!D39*'Tuition Rates'!C59),0))))))))</f>
        <v>9493.11</v>
      </c>
      <c r="G64" s="377">
        <f>IF(AND(C61="Metro",E1="Licensing/Star 2"),('VariablesINPUT-CTR'!D40*'Tuition Rates'!D4),
IF(AND(C61="Metro",E1="Star 2+/3"),('VariablesINPUT-CTR'!D40*'Tuition Rates'!D16),
IF(AND(C61="Metro",E1="Star 4"),('VariablesINPUT-CTR'!D40*'Tuition Rates'!D22),
IF(AND(C61="Metro",E1="Star 5"),('VariablesINPUT-CTR'!D40*'Tuition Rates'!D28),
IF(AND(C61=E61,E1="Licensing/Star 2"),('VariablesINPUT-CTR'!D40*'Tuition Rates'!D35),
IF(AND(C61=E61,E1="Star 2+/3"),('VariablesINPUT-CTR'!D40*'Tuition Rates'!D47),
IF(AND(C61=E61,E1="Star 4"),('VariablesINPUT-CTR'!D40*'Tuition Rates'!D53),
IF(AND(C61=E61,E1="Star 5"),('VariablesINPUT-CTR'!D40*'Tuition Rates'!D59),0))))))))</f>
        <v>16418.375</v>
      </c>
      <c r="H64" s="377">
        <f>IF(AND(C61="Metro",E1="Licensing/Star 2"),('VariablesINPUT-CTR'!D41*'Tuition Rates'!E4),
IF(AND(C61="Metro",E1="Star 2+/3"),('VariablesINPUT-CTR'!D41*'Tuition Rates'!E16),
IF(AND(C61="Metro",E1="Star 4"),('VariablesINPUT-CTR'!D41*'Tuition Rates'!E22),
IF(AND(C61="Metro",E1="Star 5"),('VariablesINPUT-CTR'!D41*'Tuition Rates'!E28),
IF(AND(C61=E61,E1="Licensing/Star 2"),('VariablesINPUT-CTR'!D41*'Tuition Rates'!E35),
IF(AND(C61=E61,E1="Star 2+/3"),('VariablesINPUT-CTR'!D41*'Tuition Rates'!E47),
IF(AND(C61=E61,E1="Star 4"),('VariablesINPUT-CTR'!D41*'Tuition Rates'!E53),
IF(AND(C61=E61,E1="Star 5"),('VariablesINPUT-CTR'!D41*'Tuition Rates'!E59),0))))))))</f>
        <v>19310.685000000001</v>
      </c>
      <c r="I64" s="377">
        <f>IF(AND(C61="Metro",E1="Licensing/Star 2"),('VariablesINPUT-CTR'!D42*'Tuition Rates'!F4),
IF(AND(C61="Metro",E1="Star 2+/3"),('VariablesINPUT-CTR'!D42*'Tuition Rates'!F16),
IF(AND(C61="Metro",E1="Star 4"),('VariablesINPUT-CTR'!D42*'Tuition Rates'!F22),
IF(AND(C61="Metro",E1="Star 5"),('VariablesINPUT-CTR'!D42*'Tuition Rates'!F28),
IF(AND(C61=E61,E1="Licensing/Star 2"),('VariablesINPUT-CTR'!D42*'Tuition Rates'!F35),
IF(AND(C61=E61,E1="Star 2+/3"),('VariablesINPUT-CTR'!D42*'Tuition Rates'!F47),
IF(AND(C61=E61,E1="Star 4"),('VariablesINPUT-CTR'!D42*'Tuition Rates'!F53),
IF(AND(C61=E61,E1="Star 5"),('VariablesINPUT-CTR'!D42*'Tuition Rates'!F59),0))))))))</f>
        <v>19310.685000000001</v>
      </c>
      <c r="J64" s="377">
        <f>IF(AND(C61="Metro",E1="Licensing/Star 2"),('VariablesINPUT-CTR'!D43*'Tuition Rates'!G4),
IF(AND(C61="Metro",E1="Star 2+/3"),('VariablesINPUT-CTR'!D43*'Tuition Rates'!G16),
IF(AND(C61="Metro",E1="Star 4"),('VariablesINPUT-CTR'!D43*'Tuition Rates'!G22),
IF(AND(C61="Metro",E1="Star 5"),('VariablesINPUT-CTR'!D43*'Tuition Rates'!G28),
IF(AND(C61=E61,E1="Licensing/Star 2"),('VariablesINPUT-CTR'!D43*'Tuition Rates'!G35),
IF(AND(C61=E61,E1="Star 2+/3"),('VariablesINPUT-CTR'!D43*'Tuition Rates'!G47),
IF(AND(C61=E61,E1="Star 4"),('VariablesINPUT-CTR'!D43*'Tuition Rates'!G53),
IF(AND(C61=E61,E1="Star 5"),('VariablesINPUT-CTR'!D43*'Tuition Rates'!G59),0))))))))</f>
        <v>33951.75</v>
      </c>
    </row>
    <row r="65" spans="1:11">
      <c r="A65" s="274">
        <f>'VariablesINPUT-CTR'!C44</f>
        <v>5</v>
      </c>
      <c r="B65" s="77" t="s">
        <v>58</v>
      </c>
      <c r="D65" s="25">
        <f>SUM(F65:J65)*12</f>
        <v>37272</v>
      </c>
      <c r="F65" s="263">
        <f>IF(E1="Licensing/Star 2",('VariablesINPUT-CTR'!C39*'Subsidy rates'!B3),
IF(E1="Star 2+/3",('VariablesINPUT-CTR'!C39*'Subsidy rates'!C3),
IF(E1="Star 4",('VariablesINPUT-CTR'!C39*'Subsidy rates'!D3),
IF(E1="Star 5",('VariablesINPUT-CTR'!C39*'Subsidy rates'!E3),
))))</f>
        <v>880</v>
      </c>
      <c r="G65" s="263">
        <f>IF(E1="Licensing/Star 2",('VariablesINPUT-CTR'!C40*'Subsidy rates'!B4),
IF(E1="Star 2+/3",('VariablesINPUT-CTR'!C40*'Subsidy rates'!C4),
IF(E1="Star 4",('VariablesINPUT-CTR'!C40*'Subsidy rates'!D4),
IF(E1="Star 5",('VariablesINPUT-CTR'!C40*'Subsidy rates'!E4),
))))</f>
        <v>635</v>
      </c>
      <c r="H65" s="263">
        <f>IF(E1="Licensing/Star 2",('VariablesINPUT-CTR'!C41*'Subsidy rates'!B5),
IF(E1="Star 2+/3",('VariablesINPUT-CTR'!C41*'Subsidy rates'!C5),
IF(E1="Star 4",('VariablesINPUT-CTR'!C41*'Subsidy rates'!D5),
IF(E1="Star 5",('VariablesINPUT-CTR'!C41*'Subsidy rates'!E5),
))))</f>
        <v>575</v>
      </c>
      <c r="I65" s="263">
        <f>IF(E1="Licensing/Star 2",('VariablesINPUT-CTR'!C42*'Subsidy rates'!B6),
IF(E1="Star 2+/3",('VariablesINPUT-CTR'!C42*'Subsidy rates'!C6),
IF(E1="Star 4",('VariablesINPUT-CTR'!C42*'Subsidy rates'!D6),
IF(E1="Star 5",('VariablesINPUT-CTR'!C42*'Subsidy rates'!E6),
))))</f>
        <v>575</v>
      </c>
      <c r="J65" s="263">
        <f>IF(E1="Licensing/Star 2",('VariablesINPUT-CTR'!C43*'Subsidy rates'!B7),
IF(E1="Star 2+/3",('VariablesINPUT-CTR'!C43*'Subsidy rates'!C7),
IF(E1="Star 4",('VariablesINPUT-CTR'!C43*'Subsidy rates'!D7),
IF(E1="Star 5",('VariablesINPUT-CTR'!C43*'Subsidy rates'!E7),
))))</f>
        <v>441</v>
      </c>
    </row>
    <row r="66" spans="1:11">
      <c r="A66" s="77"/>
      <c r="B66" s="77" t="s">
        <v>158</v>
      </c>
      <c r="D66" s="273"/>
      <c r="E66" s="29"/>
      <c r="G66" s="12">
        <f>D64*8%</f>
        <v>94545.220799999996</v>
      </c>
    </row>
    <row r="67" spans="1:11">
      <c r="A67" s="77"/>
      <c r="B67" s="272" t="s">
        <v>159</v>
      </c>
      <c r="D67" s="65">
        <f>SUM(D63:D66)</f>
        <v>1251379.26</v>
      </c>
      <c r="E67" s="30" t="s">
        <v>160</v>
      </c>
      <c r="G67" s="12">
        <f>SUM(G66,V12)</f>
        <v>106558.46169599998</v>
      </c>
    </row>
    <row r="68" spans="1:11">
      <c r="K68" s="2"/>
    </row>
    <row r="69" spans="1:11">
      <c r="B69" s="277" t="s">
        <v>161</v>
      </c>
    </row>
    <row r="70" spans="1:11">
      <c r="B70" s="34" t="s">
        <v>162</v>
      </c>
      <c r="C70" s="275">
        <f>EnrollEffic</f>
        <v>0.85</v>
      </c>
      <c r="D70" s="31">
        <f>D67-C70*D67</f>
        <v>187706.88899999997</v>
      </c>
    </row>
    <row r="71" spans="1:11">
      <c r="B71" s="34" t="s">
        <v>163</v>
      </c>
      <c r="C71" s="275">
        <f>BadDebt</f>
        <v>0.03</v>
      </c>
      <c r="D71" s="276">
        <f>C71*D67</f>
        <v>37541.377800000002</v>
      </c>
      <c r="H71" s="285"/>
    </row>
    <row r="72" spans="1:11">
      <c r="D72" s="65">
        <f>SUM(D70-D71)</f>
        <v>150165.51119999995</v>
      </c>
      <c r="E72" s="531">
        <f>D72-(D72*2)</f>
        <v>-150165.51119999995</v>
      </c>
      <c r="H72" s="285"/>
    </row>
    <row r="73" spans="1:11" ht="17">
      <c r="B73" s="77" t="s">
        <v>164</v>
      </c>
      <c r="D73" s="286">
        <f>IF('VariablesINPUT-CTR'!C16='VariablesINPUT-CTR'!F16,IF('VariablesINPUT-CTR'!C17='VariablesINPUT-CTR'!E17,GRT,IF('VariablesINPUT-CTR'!C17='VariablesINPUT-CTR'!F17,('Quality Center Profile'!D64*'Quality Center Profile'!C57),0)),0)</f>
        <v>0</v>
      </c>
      <c r="H73" s="287"/>
    </row>
    <row r="74" spans="1:11">
      <c r="B74" t="s">
        <v>165</v>
      </c>
      <c r="D74" s="25">
        <f>D67-D72</f>
        <v>1101213.7488000002</v>
      </c>
    </row>
    <row r="75" spans="1:11">
      <c r="B75" s="278" t="s">
        <v>166</v>
      </c>
      <c r="C75" s="278"/>
      <c r="D75" s="279">
        <f>D74-D59</f>
        <v>21085.556280566845</v>
      </c>
      <c r="E75" s="280">
        <f>D75/D58</f>
        <v>1.9740905460146216E-2</v>
      </c>
      <c r="F75" s="278" t="s">
        <v>133</v>
      </c>
    </row>
  </sheetData>
  <mergeCells count="1">
    <mergeCell ref="G13:I13"/>
  </mergeCells>
  <phoneticPr fontId="8" type="noConversion"/>
  <conditionalFormatting sqref="I57">
    <cfRule type="cellIs" dxfId="4" priority="2" operator="lessThan">
      <formula>0</formula>
    </cfRule>
  </conditionalFormatting>
  <conditionalFormatting sqref="X12 Z12">
    <cfRule type="cellIs" dxfId="3" priority="1" operator="equal">
      <formula>$D$53</formula>
    </cfRule>
  </conditionalFormatting>
  <dataValidations disablePrompts="1" count="1">
    <dataValidation type="list" allowBlank="1" showInputMessage="1" showErrorMessage="1" sqref="C61" xr:uid="{7EB2A0EE-D92D-6943-9251-EE265740FB08}">
      <formula1>$D$61:$E$61</formula1>
    </dataValidation>
  </dataValidations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6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DC170"/>
  <sheetViews>
    <sheetView topLeftCell="A11" zoomScale="130" zoomScaleNormal="130" workbookViewId="0">
      <selection activeCell="C45" sqref="C45"/>
    </sheetView>
  </sheetViews>
  <sheetFormatPr baseColWidth="10" defaultColWidth="8.83203125" defaultRowHeight="13"/>
  <cols>
    <col min="1" max="1" width="3.1640625" style="499" customWidth="1"/>
    <col min="2" max="2" width="22.83203125" style="115" customWidth="1"/>
    <col min="3" max="3" width="20.1640625" style="115" customWidth="1"/>
    <col min="4" max="4" width="15.6640625" style="115" customWidth="1"/>
    <col min="5" max="5" width="13" style="115" customWidth="1"/>
    <col min="6" max="6" width="18.1640625" style="115" customWidth="1"/>
    <col min="7" max="7" width="18.6640625" style="115" customWidth="1"/>
    <col min="8" max="8" width="20.1640625" style="115" customWidth="1"/>
    <col min="9" max="9" width="19.1640625" style="115" customWidth="1"/>
    <col min="10" max="10" width="7.5" style="115" customWidth="1"/>
    <col min="11" max="11" width="13.1640625" style="499" customWidth="1"/>
    <col min="12" max="12" width="9.6640625" style="499" bestFit="1" customWidth="1"/>
    <col min="13" max="107" width="8.83203125" style="499"/>
    <col min="108" max="16384" width="8.83203125" style="115"/>
  </cols>
  <sheetData>
    <row r="1" spans="1:107" s="499" customFormat="1" ht="14" thickBot="1"/>
    <row r="2" spans="1:107" ht="16">
      <c r="B2" s="501" t="s">
        <v>458</v>
      </c>
      <c r="C2" s="495"/>
      <c r="D2" s="495"/>
      <c r="E2" s="619" t="s">
        <v>460</v>
      </c>
      <c r="F2" s="618" t="s">
        <v>2</v>
      </c>
      <c r="G2" s="496" t="s">
        <v>2</v>
      </c>
      <c r="H2" s="496" t="s">
        <v>1</v>
      </c>
      <c r="I2" s="496" t="s">
        <v>3</v>
      </c>
      <c r="J2" s="617" t="s">
        <v>4</v>
      </c>
      <c r="K2" s="498"/>
    </row>
    <row r="3" spans="1:107" ht="22" customHeight="1">
      <c r="B3" s="502" t="s">
        <v>167</v>
      </c>
      <c r="C3" s="576"/>
      <c r="E3" s="316" t="s">
        <v>5</v>
      </c>
      <c r="F3" s="609" t="s">
        <v>6</v>
      </c>
      <c r="G3" s="316"/>
      <c r="H3" s="489" t="s">
        <v>6</v>
      </c>
      <c r="I3" s="489"/>
      <c r="J3" s="587"/>
      <c r="K3" s="498"/>
    </row>
    <row r="4" spans="1:107" ht="14">
      <c r="B4" s="503" t="s">
        <v>168</v>
      </c>
      <c r="C4" s="577"/>
      <c r="D4" s="577"/>
      <c r="E4" s="577"/>
      <c r="F4" s="577"/>
      <c r="G4" s="577"/>
      <c r="H4" s="577"/>
      <c r="I4" s="577"/>
      <c r="J4" s="553"/>
    </row>
    <row r="5" spans="1:107">
      <c r="B5" s="497"/>
      <c r="I5" s="578"/>
      <c r="J5" s="588"/>
      <c r="K5" s="500"/>
    </row>
    <row r="6" spans="1:107">
      <c r="B6" s="504" t="s">
        <v>169</v>
      </c>
      <c r="C6" s="620" t="s">
        <v>7</v>
      </c>
      <c r="D6" s="579" t="s">
        <v>8</v>
      </c>
      <c r="E6" s="118"/>
      <c r="F6" s="578"/>
      <c r="I6" s="578"/>
      <c r="J6" s="553"/>
    </row>
    <row r="7" spans="1:107" ht="14">
      <c r="B7" s="505"/>
      <c r="C7" s="451">
        <v>4</v>
      </c>
      <c r="D7" s="119" t="s">
        <v>9</v>
      </c>
      <c r="G7" s="580"/>
      <c r="H7" s="580"/>
      <c r="J7" s="553"/>
    </row>
    <row r="8" spans="1:107" ht="15" customHeight="1">
      <c r="B8" s="497"/>
      <c r="C8" s="451">
        <v>2</v>
      </c>
      <c r="D8" s="119" t="s">
        <v>170</v>
      </c>
      <c r="G8" s="580"/>
      <c r="H8" s="580"/>
      <c r="J8" s="553"/>
    </row>
    <row r="9" spans="1:107" ht="16" customHeight="1">
      <c r="B9" s="505"/>
      <c r="C9" s="451">
        <v>2</v>
      </c>
      <c r="D9" s="119" t="s">
        <v>171</v>
      </c>
      <c r="G9" s="580"/>
      <c r="H9" s="580"/>
      <c r="J9" s="553"/>
    </row>
    <row r="10" spans="1:107" ht="16" customHeight="1">
      <c r="B10" s="505"/>
      <c r="C10" s="451">
        <v>1</v>
      </c>
      <c r="D10" s="119" t="s">
        <v>172</v>
      </c>
      <c r="G10" s="580"/>
      <c r="H10" s="580"/>
      <c r="J10" s="553"/>
    </row>
    <row r="11" spans="1:107" ht="16" customHeight="1">
      <c r="B11" s="505"/>
      <c r="C11" s="451">
        <v>3</v>
      </c>
      <c r="D11" s="119" t="s">
        <v>173</v>
      </c>
      <c r="F11" s="581"/>
      <c r="G11" s="582"/>
      <c r="I11" s="580"/>
      <c r="J11" s="553"/>
    </row>
    <row r="12" spans="1:107" ht="12.75" customHeight="1">
      <c r="B12" s="505"/>
      <c r="C12" s="120">
        <f>SUM(C7:C11)</f>
        <v>12</v>
      </c>
      <c r="D12" s="120" t="s">
        <v>11</v>
      </c>
      <c r="E12" s="118" t="str">
        <f>IF(C12&lt;7,"FCC",IF(C12&gt;12," ","Group Home"))</f>
        <v>Group Home</v>
      </c>
      <c r="F12" s="121" t="str">
        <f>IF(C12&gt;12, "**ERROR-Too large**", " ")</f>
        <v xml:space="preserve"> </v>
      </c>
      <c r="G12" s="120"/>
      <c r="H12" s="120"/>
      <c r="J12" s="553"/>
    </row>
    <row r="13" spans="1:107" ht="12.75" customHeight="1">
      <c r="B13" s="505"/>
      <c r="C13" s="120"/>
      <c r="D13" s="120"/>
      <c r="E13" s="120"/>
      <c r="G13" s="120"/>
      <c r="H13" s="120"/>
      <c r="J13" s="553"/>
    </row>
    <row r="14" spans="1:107" customFormat="1" ht="12.75" hidden="1" customHeight="1">
      <c r="A14" s="460"/>
      <c r="B14" s="506" t="s">
        <v>12</v>
      </c>
      <c r="C14" s="484"/>
      <c r="E14" s="583"/>
      <c r="F14" s="489"/>
      <c r="G14" s="583"/>
      <c r="H14" s="2"/>
      <c r="J14" s="43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  <c r="CZ14" s="460"/>
      <c r="DA14" s="460"/>
      <c r="DB14" s="460"/>
      <c r="DC14" s="460"/>
    </row>
    <row r="15" spans="1:107" customFormat="1" ht="17" hidden="1" customHeight="1">
      <c r="A15" s="460"/>
      <c r="B15" s="507" t="s">
        <v>13</v>
      </c>
      <c r="C15" s="448" t="s">
        <v>14</v>
      </c>
      <c r="E15" s="489" t="s">
        <v>15</v>
      </c>
      <c r="F15" s="489" t="s">
        <v>14</v>
      </c>
      <c r="G15" s="583"/>
      <c r="H15" s="2"/>
      <c r="I15" s="29"/>
      <c r="J15" s="43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</row>
    <row r="16" spans="1:107" customFormat="1" ht="16" hidden="1" customHeight="1">
      <c r="A16" s="460"/>
      <c r="B16" s="507" t="s">
        <v>16</v>
      </c>
      <c r="C16" s="448" t="s">
        <v>174</v>
      </c>
      <c r="E16" s="489" t="s">
        <v>18</v>
      </c>
      <c r="F16" s="489" t="s">
        <v>17</v>
      </c>
      <c r="G16" s="489" t="s">
        <v>174</v>
      </c>
      <c r="H16" s="2"/>
      <c r="J16" s="43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</row>
    <row r="17" spans="1:107" hidden="1">
      <c r="B17" s="497"/>
      <c r="E17" s="316"/>
      <c r="F17" s="316"/>
      <c r="G17" s="316"/>
      <c r="J17" s="553"/>
    </row>
    <row r="18" spans="1:107" ht="12.75" customHeight="1">
      <c r="B18" s="497"/>
      <c r="J18" s="553"/>
    </row>
    <row r="19" spans="1:107">
      <c r="B19" s="508" t="s">
        <v>20</v>
      </c>
      <c r="C19" s="584" t="s">
        <v>21</v>
      </c>
      <c r="E19" s="452">
        <v>0.85</v>
      </c>
      <c r="F19" s="118" t="s">
        <v>22</v>
      </c>
      <c r="H19" s="577"/>
      <c r="J19" s="553"/>
    </row>
    <row r="20" spans="1:107">
      <c r="B20" s="509"/>
      <c r="C20" s="584" t="s">
        <v>23</v>
      </c>
      <c r="E20" s="452">
        <v>0.03</v>
      </c>
      <c r="F20" s="118" t="s">
        <v>24</v>
      </c>
      <c r="J20" s="553"/>
    </row>
    <row r="21" spans="1:107">
      <c r="B21" s="497"/>
      <c r="G21" s="115" t="s">
        <v>25</v>
      </c>
      <c r="I21" s="316"/>
      <c r="J21" s="589"/>
    </row>
    <row r="22" spans="1:107" customFormat="1">
      <c r="A22" s="460"/>
      <c r="B22" s="510" t="s">
        <v>175</v>
      </c>
      <c r="C22" s="488" t="s">
        <v>27</v>
      </c>
      <c r="D22" s="489" t="s">
        <v>28</v>
      </c>
      <c r="E22" s="489" t="s">
        <v>29</v>
      </c>
      <c r="F22" s="489" t="s">
        <v>30</v>
      </c>
      <c r="G22" s="489" t="s">
        <v>31</v>
      </c>
      <c r="H22" s="489" t="s">
        <v>32</v>
      </c>
      <c r="I22" s="489"/>
      <c r="J22" s="49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</row>
    <row r="23" spans="1:107" customFormat="1" ht="18" customHeight="1">
      <c r="A23" s="460"/>
      <c r="B23" s="511"/>
      <c r="C23" s="93" t="s">
        <v>459</v>
      </c>
      <c r="D23" s="610" t="s">
        <v>408</v>
      </c>
      <c r="E23" s="606"/>
      <c r="F23" s="491" t="s">
        <v>35</v>
      </c>
      <c r="G23" s="489"/>
      <c r="H23" s="585"/>
      <c r="I23" s="489" t="s">
        <v>36</v>
      </c>
      <c r="J23" s="490" t="s">
        <v>38</v>
      </c>
      <c r="K23" s="459" t="s">
        <v>408</v>
      </c>
      <c r="L23" s="459" t="s">
        <v>409</v>
      </c>
      <c r="M23" s="459" t="s">
        <v>431</v>
      </c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</row>
    <row r="24" spans="1:107" customFormat="1" ht="18" customHeight="1">
      <c r="A24" s="460"/>
      <c r="B24" s="511"/>
      <c r="C24" s="95"/>
      <c r="D24" s="96"/>
      <c r="E24" s="606"/>
      <c r="F24" s="607" t="s">
        <v>176</v>
      </c>
      <c r="G24" s="607" t="s">
        <v>177</v>
      </c>
      <c r="H24" s="585"/>
      <c r="I24" s="489"/>
      <c r="J24" s="490"/>
      <c r="K24" s="461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</row>
    <row r="25" spans="1:107" customFormat="1" ht="19" hidden="1" customHeight="1">
      <c r="A25" s="460"/>
      <c r="B25" s="512"/>
      <c r="C25" s="606" t="s">
        <v>42</v>
      </c>
      <c r="E25" s="489"/>
      <c r="F25" s="608">
        <v>0</v>
      </c>
      <c r="G25" s="608">
        <v>0</v>
      </c>
      <c r="H25" s="115"/>
      <c r="I25" s="115"/>
      <c r="J25" s="43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</row>
    <row r="26" spans="1:107" customFormat="1" ht="17" hidden="1" customHeight="1">
      <c r="A26" s="460"/>
      <c r="B26" s="513"/>
      <c r="C26" s="115"/>
      <c r="D26" s="115"/>
      <c r="E26" s="115"/>
      <c r="F26" s="115"/>
      <c r="G26" s="115"/>
      <c r="H26" s="115"/>
      <c r="I26" s="115"/>
      <c r="J26" s="43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</row>
    <row r="27" spans="1:107" customFormat="1" hidden="1">
      <c r="A27" s="460"/>
      <c r="B27" s="510" t="s">
        <v>85</v>
      </c>
      <c r="C27" s="29" t="s">
        <v>44</v>
      </c>
      <c r="D27" s="448" t="s">
        <v>27</v>
      </c>
      <c r="E27" s="5" t="s">
        <v>45</v>
      </c>
      <c r="J27" s="43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</row>
    <row r="28" spans="1:107" customFormat="1" ht="18" hidden="1" customHeight="1">
      <c r="A28" s="460"/>
      <c r="B28" s="514"/>
      <c r="C28" s="29" t="s">
        <v>46</v>
      </c>
      <c r="D28" s="447">
        <v>10</v>
      </c>
      <c r="E28" s="5"/>
      <c r="J28" s="43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</row>
    <row r="29" spans="1:107" customFormat="1" ht="17" hidden="1" customHeight="1">
      <c r="A29" s="460"/>
      <c r="B29" s="432"/>
      <c r="C29" s="29" t="s">
        <v>47</v>
      </c>
      <c r="D29" s="447">
        <v>10</v>
      </c>
      <c r="E29" s="5" t="s">
        <v>178</v>
      </c>
      <c r="J29" s="43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</row>
    <row r="30" spans="1:107" customFormat="1" ht="16" hidden="1" customHeight="1">
      <c r="A30" s="460"/>
      <c r="B30" s="432"/>
      <c r="J30" s="43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</row>
    <row r="31" spans="1:107" customFormat="1" hidden="1">
      <c r="A31" s="460"/>
      <c r="B31" s="510" t="s">
        <v>179</v>
      </c>
      <c r="J31" s="43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</row>
    <row r="32" spans="1:107" customFormat="1" hidden="1">
      <c r="A32" s="460"/>
      <c r="B32" s="429" t="s">
        <v>50</v>
      </c>
      <c r="C32" s="29" t="s">
        <v>51</v>
      </c>
      <c r="D32" s="87">
        <v>0</v>
      </c>
      <c r="E32" s="492" t="s">
        <v>180</v>
      </c>
      <c r="F32" s="115"/>
      <c r="G32" s="318">
        <v>0</v>
      </c>
      <c r="J32" s="43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</row>
    <row r="33" spans="1:107" customFormat="1" hidden="1">
      <c r="A33" s="460"/>
      <c r="B33" s="429" t="s">
        <v>53</v>
      </c>
      <c r="C33" s="29" t="s">
        <v>54</v>
      </c>
      <c r="D33" s="11">
        <f>Nonpersonnel!B49</f>
        <v>0</v>
      </c>
      <c r="E33" s="5" t="s">
        <v>181</v>
      </c>
      <c r="G33" s="317">
        <v>0</v>
      </c>
      <c r="J33" s="43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</row>
    <row r="34" spans="1:107" customFormat="1" hidden="1">
      <c r="A34" s="460"/>
      <c r="B34" s="429"/>
      <c r="C34" s="29"/>
      <c r="D34" s="11"/>
      <c r="E34" s="5"/>
      <c r="G34" s="586"/>
      <c r="J34" s="43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</row>
    <row r="35" spans="1:107" customFormat="1" hidden="1">
      <c r="A35" s="460"/>
      <c r="B35" s="429"/>
      <c r="C35" s="29"/>
      <c r="D35" s="11"/>
      <c r="E35" s="5"/>
      <c r="G35" s="586"/>
      <c r="J35" s="43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</row>
    <row r="36" spans="1:107" customFormat="1">
      <c r="A36" s="460"/>
      <c r="B36" s="510" t="s">
        <v>56</v>
      </c>
      <c r="E36" s="5"/>
      <c r="J36" s="43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</row>
    <row r="37" spans="1:107" customFormat="1">
      <c r="A37" s="460"/>
      <c r="B37" s="515" t="s">
        <v>57</v>
      </c>
      <c r="D37" s="16"/>
      <c r="E37" s="16"/>
      <c r="J37" s="43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</row>
    <row r="38" spans="1:107" customFormat="1">
      <c r="A38" s="460"/>
      <c r="B38" s="516"/>
      <c r="C38" s="2" t="s">
        <v>58</v>
      </c>
      <c r="D38" s="2" t="s">
        <v>61</v>
      </c>
      <c r="I38" s="460"/>
      <c r="J38" s="52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</row>
    <row r="39" spans="1:107" customFormat="1" ht="14">
      <c r="A39" s="460"/>
      <c r="B39" s="517" t="str">
        <f>D7</f>
        <v>Infants</v>
      </c>
      <c r="C39" s="450">
        <v>1</v>
      </c>
      <c r="D39" s="243">
        <f>C7-C39</f>
        <v>3</v>
      </c>
      <c r="I39" s="460"/>
      <c r="J39" s="52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</row>
    <row r="40" spans="1:107" customFormat="1" ht="14">
      <c r="A40" s="460"/>
      <c r="B40" s="517" t="str">
        <f t="shared" ref="B40:B43" si="0">D8</f>
        <v>Two year olds</v>
      </c>
      <c r="C40" s="450">
        <v>1</v>
      </c>
      <c r="D40" s="243">
        <f t="shared" ref="D40:D44" si="1">C8-C40</f>
        <v>1</v>
      </c>
      <c r="I40" s="460"/>
      <c r="J40" s="52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</row>
    <row r="41" spans="1:107" customFormat="1" ht="14">
      <c r="A41" s="460"/>
      <c r="B41" s="517" t="str">
        <f t="shared" si="0"/>
        <v>Three year olds</v>
      </c>
      <c r="C41" s="450">
        <v>1</v>
      </c>
      <c r="D41" s="243">
        <f t="shared" si="1"/>
        <v>1</v>
      </c>
      <c r="I41" s="460"/>
      <c r="J41" s="52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</row>
    <row r="42" spans="1:107" customFormat="1" ht="14">
      <c r="A42" s="460"/>
      <c r="B42" s="517" t="str">
        <f t="shared" si="0"/>
        <v>Four year olds</v>
      </c>
      <c r="C42" s="450">
        <v>0</v>
      </c>
      <c r="D42" s="243">
        <f t="shared" si="1"/>
        <v>1</v>
      </c>
      <c r="I42" s="460"/>
      <c r="J42" s="52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</row>
    <row r="43" spans="1:107" customFormat="1" ht="14">
      <c r="A43" s="460"/>
      <c r="B43" s="517" t="str">
        <f t="shared" si="0"/>
        <v>School Aged</v>
      </c>
      <c r="C43" s="450">
        <v>1</v>
      </c>
      <c r="D43" s="243">
        <f t="shared" si="1"/>
        <v>2</v>
      </c>
      <c r="I43" s="460"/>
      <c r="J43" s="52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</row>
    <row r="44" spans="1:107" customFormat="1">
      <c r="A44" s="460"/>
      <c r="B44" s="518" t="s">
        <v>62</v>
      </c>
      <c r="C44" s="244">
        <f>SUM(C39:C43)</f>
        <v>4</v>
      </c>
      <c r="D44" s="243">
        <f t="shared" si="1"/>
        <v>8</v>
      </c>
      <c r="I44" s="460"/>
      <c r="J44" s="52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</row>
    <row r="45" spans="1:107" customFormat="1" ht="16">
      <c r="A45" s="520"/>
      <c r="B45" s="115"/>
      <c r="C45" s="32" t="s">
        <v>462</v>
      </c>
      <c r="D45" s="245">
        <f>SUM(C39:C43)</f>
        <v>4</v>
      </c>
      <c r="I45" s="460"/>
      <c r="J45" s="52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</row>
    <row r="46" spans="1:107" customFormat="1">
      <c r="A46" s="520"/>
      <c r="B46" s="115"/>
      <c r="C46" s="32" t="s">
        <v>63</v>
      </c>
      <c r="D46" s="246">
        <f>D45/C12</f>
        <v>0.33333333333333331</v>
      </c>
      <c r="I46" s="460"/>
      <c r="J46" s="52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</row>
    <row r="47" spans="1:107" s="499" customFormat="1">
      <c r="B47" s="552" t="str">
        <f>IF(F2="Licensing/Star 2","Note: Programs must be rated 2 Star to receive child care subsidy revenue", " ")</f>
        <v>Note: Programs must be rated 2 Star to receive child care subsidy revenue</v>
      </c>
      <c r="C47"/>
      <c r="D47" s="115"/>
      <c r="E47" s="115"/>
      <c r="F47" s="115"/>
      <c r="G47" s="115"/>
      <c r="H47" s="115"/>
      <c r="I47" s="115"/>
      <c r="J47" s="553"/>
    </row>
    <row r="48" spans="1:107" s="499" customFormat="1">
      <c r="B48" s="497"/>
      <c r="C48" s="115"/>
      <c r="D48" s="115"/>
      <c r="E48" s="115"/>
      <c r="F48" s="115"/>
      <c r="G48" s="115"/>
      <c r="H48" s="115"/>
      <c r="I48" s="115"/>
      <c r="J48" s="553"/>
    </row>
    <row r="49" spans="2:10" s="499" customFormat="1" ht="14" thickBot="1">
      <c r="B49" s="497"/>
      <c r="C49" s="115"/>
      <c r="D49" s="115"/>
      <c r="E49" s="115"/>
      <c r="F49" s="115"/>
      <c r="G49" s="115"/>
      <c r="H49" s="115"/>
      <c r="I49" s="115"/>
      <c r="J49" s="553"/>
    </row>
    <row r="50" spans="2:10" s="499" customFormat="1" ht="14" thickBot="1">
      <c r="B50" s="527" t="s">
        <v>437</v>
      </c>
      <c r="C50" s="557"/>
      <c r="D50" s="115"/>
      <c r="E50" s="115"/>
      <c r="F50" s="573" t="s">
        <v>449</v>
      </c>
      <c r="G50" s="574" t="s">
        <v>64</v>
      </c>
      <c r="H50" s="574" t="s">
        <v>435</v>
      </c>
      <c r="I50" s="575" t="s">
        <v>436</v>
      </c>
      <c r="J50" s="553"/>
    </row>
    <row r="51" spans="2:10" s="499" customFormat="1">
      <c r="B51" s="525"/>
      <c r="C51" s="558"/>
      <c r="D51" s="115"/>
      <c r="E51" s="115"/>
      <c r="F51" s="359" t="str">
        <f>D7</f>
        <v>Infants</v>
      </c>
      <c r="G51" s="572">
        <f>QualityHomeProfile!C6</f>
        <v>13545.029253454804</v>
      </c>
      <c r="H51" s="572">
        <f>G51/12</f>
        <v>1128.7524377879004</v>
      </c>
      <c r="I51" s="360">
        <f>G51/52</f>
        <v>260.48133179720776</v>
      </c>
      <c r="J51" s="553"/>
    </row>
    <row r="52" spans="2:10" s="499" customFormat="1">
      <c r="B52" s="525" t="s">
        <v>438</v>
      </c>
      <c r="C52" s="571">
        <f>QualityHomeProfile!A20</f>
        <v>2</v>
      </c>
      <c r="D52" s="115"/>
      <c r="E52" s="115"/>
      <c r="F52" s="359" t="str">
        <f>D8</f>
        <v>Two year olds</v>
      </c>
      <c r="G52" s="572">
        <f>QualityHomeProfile!C7</f>
        <v>13545.029253454804</v>
      </c>
      <c r="H52" s="572">
        <f>G52/12</f>
        <v>1128.7524377879004</v>
      </c>
      <c r="I52" s="360">
        <f>G52/52</f>
        <v>260.48133179720776</v>
      </c>
      <c r="J52" s="553"/>
    </row>
    <row r="53" spans="2:10" s="499" customFormat="1">
      <c r="B53" s="525"/>
      <c r="C53" s="558"/>
      <c r="D53" s="115"/>
      <c r="E53" s="115"/>
      <c r="F53" s="359" t="str">
        <f>D9</f>
        <v>Three year olds</v>
      </c>
      <c r="G53" s="572">
        <f>QualityHomeProfile!C8</f>
        <v>13545.029253454804</v>
      </c>
      <c r="H53" s="572">
        <f>G53/12</f>
        <v>1128.7524377879004</v>
      </c>
      <c r="I53" s="360">
        <f>G53/52</f>
        <v>260.48133179720776</v>
      </c>
      <c r="J53" s="553"/>
    </row>
    <row r="54" spans="2:10" s="499" customFormat="1">
      <c r="B54" s="528" t="s">
        <v>198</v>
      </c>
      <c r="C54" s="558"/>
      <c r="D54" s="115"/>
      <c r="E54" s="115"/>
      <c r="F54" s="359" t="str">
        <f>D10</f>
        <v>Four year olds</v>
      </c>
      <c r="G54" s="572">
        <f>QualityHomeProfile!C9</f>
        <v>13545.029253454804</v>
      </c>
      <c r="H54" s="572">
        <f>G54/12</f>
        <v>1128.7524377879004</v>
      </c>
      <c r="I54" s="360">
        <f>G54/52</f>
        <v>260.48133179720776</v>
      </c>
      <c r="J54" s="553"/>
    </row>
    <row r="55" spans="2:10" s="499" customFormat="1" ht="14" thickBot="1">
      <c r="B55" s="535" t="s">
        <v>439</v>
      </c>
      <c r="C55" s="559">
        <f>QualityHomeProfile!D20</f>
        <v>74700.239999999991</v>
      </c>
      <c r="D55" s="115"/>
      <c r="E55" s="115"/>
      <c r="F55" s="361" t="str">
        <f>D11</f>
        <v>School Aged</v>
      </c>
      <c r="G55" s="357">
        <f>QualityHomeProfile!C10</f>
        <v>7170.8978400643055</v>
      </c>
      <c r="H55" s="362">
        <f>G55/12</f>
        <v>597.57482000535879</v>
      </c>
      <c r="I55" s="363">
        <f>G55/52</f>
        <v>137.90188153969819</v>
      </c>
      <c r="J55" s="553"/>
    </row>
    <row r="56" spans="2:10" s="499" customFormat="1">
      <c r="B56" s="535" t="s">
        <v>85</v>
      </c>
      <c r="C56" s="559">
        <f>SUM(QualityHomeProfile!D27,QualityHomeProfile!D33)</f>
        <v>25344.689744615382</v>
      </c>
      <c r="D56" s="115"/>
      <c r="E56" s="115"/>
      <c r="F56" s="115"/>
      <c r="G56" s="115"/>
      <c r="H56" s="115"/>
      <c r="I56" s="115"/>
      <c r="J56" s="553"/>
    </row>
    <row r="57" spans="2:10" s="499" customFormat="1" ht="14" thickBot="1">
      <c r="B57" s="534" t="s">
        <v>453</v>
      </c>
      <c r="C57" s="560">
        <f>SUM(C55:C56)</f>
        <v>100044.92974461537</v>
      </c>
      <c r="D57" s="115"/>
      <c r="E57" s="115"/>
      <c r="F57" s="115"/>
      <c r="G57" s="115"/>
      <c r="H57" s="115"/>
      <c r="I57" s="115"/>
      <c r="J57" s="553"/>
    </row>
    <row r="58" spans="2:10" s="499" customFormat="1" ht="14" thickBot="1">
      <c r="B58" s="535"/>
      <c r="C58" s="561"/>
      <c r="D58" s="115"/>
      <c r="E58" s="115"/>
      <c r="F58" s="458" t="s">
        <v>461</v>
      </c>
      <c r="G58" s="453" t="s">
        <v>450</v>
      </c>
      <c r="H58" s="453" t="s">
        <v>451</v>
      </c>
      <c r="I58" s="454" t="s">
        <v>452</v>
      </c>
      <c r="J58" s="553"/>
    </row>
    <row r="59" spans="2:10" s="499" customFormat="1">
      <c r="B59" s="535" t="s">
        <v>454</v>
      </c>
      <c r="C59" s="561">
        <f>QualityHomeProfile!D39</f>
        <v>7723.1470399999998</v>
      </c>
      <c r="D59" s="115"/>
      <c r="E59" s="115"/>
      <c r="F59" s="90" t="str">
        <f>D7</f>
        <v>Infants</v>
      </c>
      <c r="G59" s="352">
        <f>H59*12</f>
        <v>10260</v>
      </c>
      <c r="H59" s="352">
        <f>IF(AND(E$12="Group Home",F$2=G$2),'Subsidy rates'!B20,
IF(AND(E$12="Group Home",F$2=H$2),'Subsidy rates'!C20,
IF(AND(E$12="Group Home",F$2=I$2),'Subsidy rates'!D20,
IF(AND(E$12="Group Home",F$2=#REF!),'Subsidy rates'!E20,
IF(F$2=G$2,'Subsidy rates'!B11,
IF(F$2=H$2,'Subsidy rates'!C11,
IF(F$2=I$2,'Subsidy rates'!D11,
IF(F$2=#REF!,'Subsidy rates'!E11,0))))))))</f>
        <v>855</v>
      </c>
      <c r="I59" s="353">
        <f>G59/52</f>
        <v>197.30769230769232</v>
      </c>
      <c r="J59" s="553"/>
    </row>
    <row r="60" spans="2:10" s="499" customFormat="1">
      <c r="B60" s="535" t="s">
        <v>455</v>
      </c>
      <c r="C60" s="561">
        <f>QualityHomeProfile!D40</f>
        <v>14385.844692799999</v>
      </c>
      <c r="D60" s="115"/>
      <c r="E60" s="115"/>
      <c r="F60" s="90" t="str">
        <f>D8</f>
        <v>Two year olds</v>
      </c>
      <c r="G60" s="533">
        <f t="shared" ref="G60:G62" si="2">H60*12</f>
        <v>9960</v>
      </c>
      <c r="H60" s="533">
        <f>IF(AND(E$12="Group Home",F$2=G$2),'Subsidy rates'!B21,
IF(AND(E$12="Group Home",F$2=H$2),'Subsidy rates'!C21,
IF(AND(E$12="Group Home",F$2=I$2),'Subsidy rates'!D21,
IF(AND(E$12="Group Home",F$2=#REF!),'Subsidy rates'!E21,
IF(F$2=G$2,'Subsidy rates'!B12,
IF(F$2=H$2,'Subsidy rates'!C12,
IF(F$2=I$2,'Subsidy rates'!D12,
IF(F$2=#REF!,'Subsidy rates'!E12,0))))))))</f>
        <v>830</v>
      </c>
      <c r="I60" s="354">
        <f t="shared" ref="I60:I62" si="3">G60/52</f>
        <v>191.53846153846155</v>
      </c>
      <c r="J60" s="553"/>
    </row>
    <row r="61" spans="2:10" s="499" customFormat="1">
      <c r="B61" s="535" t="s">
        <v>137</v>
      </c>
      <c r="C61" s="561">
        <f>QualityHomeProfile!D42</f>
        <v>5900.9250000000002</v>
      </c>
      <c r="D61" s="115"/>
      <c r="E61" s="115"/>
      <c r="F61" s="90" t="str">
        <f>D9</f>
        <v>Three year olds</v>
      </c>
      <c r="G61" s="533">
        <f t="shared" si="2"/>
        <v>8160</v>
      </c>
      <c r="H61" s="533">
        <f>IF(AND(E$12="Group Home",F$2=G$2),'Subsidy rates'!B22,
IF(AND(E$12="Group Home",F$2=H$2),'Subsidy rates'!C22,
IF(AND(E$12="Group Home",F$2=I$2),'Subsidy rates'!D22,
IF(AND(E$12="Group Home",F$2=#REF!),'Subsidy rates'!E22,
IF(F$2=G$2,'Subsidy rates'!B13,
IF(F$2=H$2,'Subsidy rates'!C13,
IF(F$2=I$2,'Subsidy rates'!D13,
IF(F$2=#REF!,'Subsidy rates'!E13,0))))))))</f>
        <v>680</v>
      </c>
      <c r="I61" s="354">
        <f t="shared" si="3"/>
        <v>156.92307692307693</v>
      </c>
      <c r="J61" s="553"/>
    </row>
    <row r="62" spans="2:10" s="499" customFormat="1">
      <c r="B62" s="535" t="s">
        <v>442</v>
      </c>
      <c r="C62" s="561">
        <f>QualityHomeProfile!D44</f>
        <v>6402.7423238707688</v>
      </c>
      <c r="D62" s="115"/>
      <c r="E62" s="115"/>
      <c r="F62" s="90" t="str">
        <f>D10</f>
        <v>Four year olds</v>
      </c>
      <c r="G62" s="533">
        <f t="shared" si="2"/>
        <v>8160</v>
      </c>
      <c r="H62" s="533">
        <f>IF(AND(E$12="Group Home",F$2=G$2),'Subsidy rates'!B23,
IF(AND(E$12="Group Home",F$2=H$2),'Subsidy rates'!C23,
IF(AND(E$12="Group Home",F$2=I$2),'Subsidy rates'!D23,
IF(AND(E$12="Group Home",F$2=#REF!),'Subsidy rates'!E23,
IF(F$2=G$2,'Subsidy rates'!B14,
IF(F$2=H$2,'Subsidy rates'!C14,
IF(F$2=I$2,'Subsidy rates'!D14,
IF(F$2=#REF!,'Subsidy rates'!E14,0))))))))</f>
        <v>680</v>
      </c>
      <c r="I62" s="354">
        <f t="shared" si="3"/>
        <v>156.92307692307693</v>
      </c>
      <c r="J62" s="553"/>
    </row>
    <row r="63" spans="2:10" s="499" customFormat="1" ht="14" thickBot="1">
      <c r="B63" s="535" t="s">
        <v>13</v>
      </c>
      <c r="C63" s="561">
        <f>QualityHomeProfile!D48</f>
        <v>8960.3680000000004</v>
      </c>
      <c r="D63" s="115"/>
      <c r="E63" s="115"/>
      <c r="F63" s="91" t="str">
        <f>D11</f>
        <v>School Aged</v>
      </c>
      <c r="G63" s="92">
        <f>H63*12</f>
        <v>5136</v>
      </c>
      <c r="H63" s="92">
        <f>IF(AND(E$12="Group Home",F$2=G$2),'Subsidy rates'!B24,
IF(AND(E$12="Group Home",F$2=H$2),'Subsidy rates'!C24,
IF(AND(E$12="Group Home",F$2=I$2),'Subsidy rates'!D24,
IF(AND(E$12="Group Home",F$2=#REF!),'Subsidy rates'!E24,
IF(F$2=G$2,'Subsidy rates'!B15,
IF(F$2=H$2,'Subsidy rates'!C15,
IF(F$2=I$2,'Subsidy rates'!D15,
IF(F$2=#REF!,'Subsidy rates'!E15,0))))))))</f>
        <v>428</v>
      </c>
      <c r="I63" s="355">
        <f>G63/52</f>
        <v>98.769230769230774</v>
      </c>
      <c r="J63" s="553"/>
    </row>
    <row r="64" spans="2:10" s="499" customFormat="1" ht="14" thickBot="1">
      <c r="B64" s="534" t="s">
        <v>324</v>
      </c>
      <c r="C64" s="560">
        <f>SUM(C58:C63)</f>
        <v>43373.02705667077</v>
      </c>
      <c r="D64" s="115"/>
      <c r="E64" s="115"/>
      <c r="F64" s="493"/>
      <c r="G64" s="493"/>
      <c r="H64" s="210"/>
      <c r="I64"/>
      <c r="J64" s="553"/>
    </row>
    <row r="65" spans="1:107" s="499" customFormat="1" ht="14" thickBot="1">
      <c r="B65" s="534"/>
      <c r="C65" s="560"/>
      <c r="D65" s="115"/>
      <c r="E65" s="115"/>
      <c r="F65" s="455" t="s">
        <v>184</v>
      </c>
      <c r="G65" s="456" t="str">
        <f>G58</f>
        <v>Annual, per Child</v>
      </c>
      <c r="H65" s="456" t="str">
        <f>H58</f>
        <v>Monthly, per Child</v>
      </c>
      <c r="I65" s="457" t="str">
        <f>I58</f>
        <v>Weekly, per Child</v>
      </c>
      <c r="J65" s="553"/>
    </row>
    <row r="66" spans="1:107" s="499" customFormat="1">
      <c r="B66" s="529" t="s">
        <v>443</v>
      </c>
      <c r="C66" s="562">
        <f>SUM(C57,C64)</f>
        <v>143417.95680128614</v>
      </c>
      <c r="D66" s="115"/>
      <c r="E66" s="115"/>
      <c r="F66" s="198" t="str">
        <f>F59</f>
        <v>Infants</v>
      </c>
      <c r="G66" s="199">
        <f t="shared" ref="G66:I70" si="4">G59-G51</f>
        <v>-3285.0292534548043</v>
      </c>
      <c r="H66" s="199">
        <f t="shared" si="4"/>
        <v>-273.75243778790036</v>
      </c>
      <c r="I66" s="214">
        <f t="shared" si="4"/>
        <v>-63.173639489515438</v>
      </c>
      <c r="J66" s="553"/>
    </row>
    <row r="67" spans="1:107" s="499" customFormat="1">
      <c r="B67" s="525"/>
      <c r="C67" s="558"/>
      <c r="D67" s="115"/>
      <c r="E67" s="115"/>
      <c r="F67" s="200" t="str">
        <f t="shared" ref="F67:F70" si="5">F60</f>
        <v>Two year olds</v>
      </c>
      <c r="G67" s="521">
        <f t="shared" si="4"/>
        <v>-3585.0292534548043</v>
      </c>
      <c r="H67" s="521">
        <f t="shared" si="4"/>
        <v>-298.75243778790036</v>
      </c>
      <c r="I67" s="215">
        <f t="shared" si="4"/>
        <v>-68.942870258746211</v>
      </c>
      <c r="J67" s="553"/>
    </row>
    <row r="68" spans="1:107" s="499" customFormat="1">
      <c r="B68" s="528" t="s">
        <v>444</v>
      </c>
      <c r="C68" s="558"/>
      <c r="D68" s="115"/>
      <c r="E68" s="115"/>
      <c r="F68" s="200" t="str">
        <f t="shared" si="5"/>
        <v>Three year olds</v>
      </c>
      <c r="G68" s="521">
        <f t="shared" si="4"/>
        <v>-5385.0292534548043</v>
      </c>
      <c r="H68" s="521">
        <f t="shared" si="4"/>
        <v>-448.75243778790036</v>
      </c>
      <c r="I68" s="215">
        <f t="shared" si="4"/>
        <v>-103.55825487413082</v>
      </c>
      <c r="J68" s="553"/>
    </row>
    <row r="69" spans="1:107" s="499" customFormat="1">
      <c r="B69" s="525" t="s">
        <v>445</v>
      </c>
      <c r="C69" s="559">
        <f>QualityHomeProfile!D54</f>
        <v>11055.199999999999</v>
      </c>
      <c r="D69" s="115"/>
      <c r="E69" s="115"/>
      <c r="F69" s="200" t="str">
        <f t="shared" si="5"/>
        <v>Four year olds</v>
      </c>
      <c r="G69" s="521">
        <f t="shared" si="4"/>
        <v>-5385.0292534548043</v>
      </c>
      <c r="H69" s="521">
        <f t="shared" si="4"/>
        <v>-448.75243778790036</v>
      </c>
      <c r="I69" s="215">
        <f t="shared" si="4"/>
        <v>-103.55825487413082</v>
      </c>
      <c r="J69" s="553"/>
    </row>
    <row r="70" spans="1:107" s="499" customFormat="1" ht="14" thickBot="1">
      <c r="B70" s="525" t="s">
        <v>446</v>
      </c>
      <c r="C70" s="559">
        <f>QualityHomeProfile!D55</f>
        <v>59273.399999999994</v>
      </c>
      <c r="D70" s="115"/>
      <c r="E70" s="115"/>
      <c r="F70" s="201" t="str">
        <f t="shared" si="5"/>
        <v>School Aged</v>
      </c>
      <c r="G70" s="202">
        <f t="shared" si="4"/>
        <v>-2034.8978400643055</v>
      </c>
      <c r="H70" s="202">
        <f t="shared" si="4"/>
        <v>-169.57482000535879</v>
      </c>
      <c r="I70" s="216">
        <f t="shared" si="4"/>
        <v>-39.132650770467421</v>
      </c>
      <c r="J70" s="553"/>
    </row>
    <row r="71" spans="1:107" s="499" customFormat="1">
      <c r="B71" s="525" t="s">
        <v>340</v>
      </c>
      <c r="C71" s="559">
        <f>QualityHomeProfile!D56</f>
        <v>41676</v>
      </c>
      <c r="D71" s="115"/>
      <c r="E71" s="115"/>
      <c r="F71" s="115"/>
      <c r="G71" s="115"/>
      <c r="H71" s="115"/>
      <c r="I71" s="115"/>
      <c r="J71" s="553"/>
    </row>
    <row r="72" spans="1:107" customFormat="1" ht="14" customHeight="1">
      <c r="A72" s="460"/>
      <c r="B72" s="525" t="s">
        <v>59</v>
      </c>
      <c r="C72" s="559" t="e">
        <f>QualityHomeProfile!#REF!</f>
        <v>#REF!</v>
      </c>
      <c r="D72" s="115"/>
      <c r="E72" s="32"/>
      <c r="F72" s="115"/>
      <c r="G72" s="115"/>
      <c r="H72" s="115"/>
      <c r="I72" s="115"/>
      <c r="J72" s="43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</row>
    <row r="73" spans="1:107" ht="14" thickBot="1">
      <c r="B73" s="525" t="s">
        <v>60</v>
      </c>
      <c r="C73" s="559" t="e">
        <f>QualityHomeProfile!#REF!</f>
        <v>#REF!</v>
      </c>
      <c r="E73" s="123"/>
      <c r="J73" s="553"/>
      <c r="DB73" s="115"/>
      <c r="DC73" s="115"/>
    </row>
    <row r="74" spans="1:107" ht="14" thickBot="1">
      <c r="B74" s="525" t="s">
        <v>456</v>
      </c>
      <c r="C74" s="559">
        <f>QualityHomeProfile!D57</f>
        <v>0</v>
      </c>
      <c r="E74" s="316">
        <v>1.1000000000000001</v>
      </c>
      <c r="F74" s="591" t="s">
        <v>433</v>
      </c>
      <c r="G74" s="592" t="s">
        <v>182</v>
      </c>
      <c r="H74" s="592" t="s">
        <v>65</v>
      </c>
      <c r="I74" s="593" t="s">
        <v>66</v>
      </c>
      <c r="J74" s="553"/>
      <c r="DB74" s="115"/>
      <c r="DC74" s="115"/>
    </row>
    <row r="75" spans="1:107" ht="20" customHeight="1">
      <c r="B75" s="529" t="s">
        <v>448</v>
      </c>
      <c r="C75" s="570" t="e">
        <f>SUM(C69:C74)</f>
        <v>#REF!</v>
      </c>
      <c r="E75" s="316">
        <v>1.04</v>
      </c>
      <c r="F75" s="594" t="str">
        <f>F51</f>
        <v>Infants</v>
      </c>
      <c r="G75" s="595">
        <f>QualityHomeProfile!C6*E74</f>
        <v>14899.532178800286</v>
      </c>
      <c r="H75" s="595">
        <f>G75/12</f>
        <v>1241.6276815666904</v>
      </c>
      <c r="I75" s="596">
        <f>G75/52</f>
        <v>286.52946497692858</v>
      </c>
      <c r="J75" s="554"/>
      <c r="DB75" s="115"/>
      <c r="DC75" s="115"/>
    </row>
    <row r="76" spans="1:107" ht="20" customHeight="1">
      <c r="B76" s="563" t="s">
        <v>457</v>
      </c>
      <c r="C76" s="569">
        <f>QualityHomeProfile!F62</f>
        <v>-20160.828000000001</v>
      </c>
      <c r="E76" s="316">
        <v>0.93</v>
      </c>
      <c r="F76" s="594" t="str">
        <f>F52</f>
        <v>Two year olds</v>
      </c>
      <c r="G76" s="595">
        <f>QualityHomeProfile!C7*E75</f>
        <v>14086.830423592997</v>
      </c>
      <c r="H76" s="595">
        <f>G76/12</f>
        <v>1173.9025352994165</v>
      </c>
      <c r="I76" s="596">
        <f>G76/52</f>
        <v>270.90058506909611</v>
      </c>
      <c r="J76" s="554"/>
      <c r="DB76" s="115"/>
      <c r="DC76" s="115"/>
    </row>
    <row r="77" spans="1:107" ht="18" customHeight="1">
      <c r="B77" s="564"/>
      <c r="C77" s="565"/>
      <c r="E77" s="316">
        <v>0.93</v>
      </c>
      <c r="F77" s="594" t="str">
        <f>F53</f>
        <v>Three year olds</v>
      </c>
      <c r="G77" s="595">
        <f>QualityHomeProfile!C8*E76</f>
        <v>12596.877205712968</v>
      </c>
      <c r="H77" s="595">
        <f>G77/12</f>
        <v>1049.7397671427473</v>
      </c>
      <c r="I77" s="596">
        <f>G77/52</f>
        <v>242.24763857140323</v>
      </c>
      <c r="J77" s="554"/>
      <c r="DB77" s="115"/>
      <c r="DC77" s="115"/>
    </row>
    <row r="78" spans="1:107" ht="26" customHeight="1">
      <c r="B78" s="566" t="s">
        <v>166</v>
      </c>
      <c r="C78" s="567">
        <f>QualityHomeProfile!D66</f>
        <v>-51574.18480128613</v>
      </c>
      <c r="E78" s="316">
        <v>1</v>
      </c>
      <c r="F78" s="594" t="str">
        <f>F54</f>
        <v>Four year olds</v>
      </c>
      <c r="G78" s="595">
        <f>QualityHomeProfile!C9*E77</f>
        <v>12596.877205712968</v>
      </c>
      <c r="H78" s="595">
        <f>G78/12</f>
        <v>1049.7397671427473</v>
      </c>
      <c r="I78" s="596">
        <f>G78/52</f>
        <v>242.24763857140323</v>
      </c>
      <c r="J78" s="554"/>
      <c r="DB78" s="115"/>
      <c r="DC78" s="115"/>
    </row>
    <row r="79" spans="1:107" ht="14" thickBot="1">
      <c r="B79" s="566"/>
      <c r="C79" s="567"/>
      <c r="F79" s="597" t="str">
        <f>F55</f>
        <v>School Aged</v>
      </c>
      <c r="G79" s="598">
        <f>QualityHomeProfile!C10*E78</f>
        <v>7170.8978400643055</v>
      </c>
      <c r="H79" s="598">
        <f>G79/12</f>
        <v>597.57482000535879</v>
      </c>
      <c r="I79" s="599">
        <f>G79/52</f>
        <v>137.90188153969819</v>
      </c>
      <c r="J79" s="554"/>
      <c r="DB79" s="115"/>
      <c r="DC79" s="115"/>
    </row>
    <row r="80" spans="1:107" ht="14" thickBot="1">
      <c r="B80" s="526" t="s">
        <v>447</v>
      </c>
      <c r="C80" s="568">
        <f>QualityHomeProfile!E66</f>
        <v>-0.35960758298031781</v>
      </c>
      <c r="J80" s="554"/>
      <c r="DB80" s="115"/>
      <c r="DC80" s="115"/>
    </row>
    <row r="81" spans="1:106" customFormat="1" ht="14" thickBot="1">
      <c r="A81" s="460"/>
      <c r="B81" s="497"/>
      <c r="C81" s="115"/>
      <c r="D81" s="115"/>
      <c r="E81" s="115"/>
      <c r="F81" s="455" t="s">
        <v>184</v>
      </c>
      <c r="G81" s="456" t="s">
        <v>67</v>
      </c>
      <c r="H81" s="456" t="s">
        <v>68</v>
      </c>
      <c r="I81" s="457" t="s">
        <v>183</v>
      </c>
      <c r="J81" s="43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</row>
    <row r="82" spans="1:106" customFormat="1">
      <c r="A82" s="460"/>
      <c r="B82" s="497"/>
      <c r="C82" s="115"/>
      <c r="D82" s="115"/>
      <c r="E82" s="115"/>
      <c r="F82" s="198" t="str">
        <f>F75</f>
        <v>Infants</v>
      </c>
      <c r="G82" s="199">
        <f t="shared" ref="G82:I86" si="6">G59-G75</f>
        <v>-4639.5321788002857</v>
      </c>
      <c r="H82" s="199">
        <f t="shared" si="6"/>
        <v>-386.6276815666904</v>
      </c>
      <c r="I82" s="214">
        <f t="shared" si="6"/>
        <v>-89.221772669236259</v>
      </c>
      <c r="J82" s="43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0"/>
      <c r="AP82" s="460"/>
      <c r="AQ82" s="460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</row>
    <row r="83" spans="1:106" customFormat="1">
      <c r="A83" s="460"/>
      <c r="B83" s="497"/>
      <c r="C83" s="115"/>
      <c r="D83" s="115"/>
      <c r="E83" s="115"/>
      <c r="F83" s="200" t="str">
        <f>F76</f>
        <v>Two year olds</v>
      </c>
      <c r="G83" s="521">
        <f t="shared" si="6"/>
        <v>-4126.8304235929972</v>
      </c>
      <c r="H83" s="521">
        <f t="shared" si="6"/>
        <v>-343.90253529941651</v>
      </c>
      <c r="I83" s="215">
        <f t="shared" si="6"/>
        <v>-79.362123530634562</v>
      </c>
      <c r="J83" s="43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0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0"/>
      <c r="AO83" s="460"/>
      <c r="AP83" s="460"/>
      <c r="AQ83" s="460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</row>
    <row r="84" spans="1:106" customFormat="1">
      <c r="A84" s="460"/>
      <c r="B84" s="497"/>
      <c r="C84" s="115"/>
      <c r="D84" s="115"/>
      <c r="E84" s="115"/>
      <c r="F84" s="200" t="str">
        <f>F77</f>
        <v>Three year olds</v>
      </c>
      <c r="G84" s="521">
        <f t="shared" si="6"/>
        <v>-4436.8772057129681</v>
      </c>
      <c r="H84" s="521">
        <f t="shared" si="6"/>
        <v>-369.73976714274727</v>
      </c>
      <c r="I84" s="215">
        <f t="shared" si="6"/>
        <v>-85.324561648326295</v>
      </c>
      <c r="J84" s="43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460"/>
      <c r="AL84" s="460"/>
      <c r="AM84" s="460"/>
      <c r="AN84" s="460"/>
      <c r="AO84" s="460"/>
      <c r="AP84" s="460"/>
      <c r="AQ84" s="460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</row>
    <row r="85" spans="1:106" customFormat="1">
      <c r="A85" s="460"/>
      <c r="B85" s="497"/>
      <c r="C85" s="115"/>
      <c r="D85" s="115"/>
      <c r="E85" s="115"/>
      <c r="F85" s="200" t="str">
        <f>F78</f>
        <v>Four year olds</v>
      </c>
      <c r="G85" s="521">
        <f t="shared" si="6"/>
        <v>-4436.8772057129681</v>
      </c>
      <c r="H85" s="521">
        <f t="shared" si="6"/>
        <v>-369.73976714274727</v>
      </c>
      <c r="I85" s="215">
        <f t="shared" si="6"/>
        <v>-85.324561648326295</v>
      </c>
      <c r="J85" s="43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</row>
    <row r="86" spans="1:106" customFormat="1" ht="14" thickBot="1">
      <c r="A86" s="460"/>
      <c r="B86" s="497"/>
      <c r="C86" s="115"/>
      <c r="D86" s="115"/>
      <c r="E86" s="115"/>
      <c r="F86" s="201" t="str">
        <f>F79</f>
        <v>School Aged</v>
      </c>
      <c r="G86" s="202">
        <f t="shared" si="6"/>
        <v>-2034.8978400643055</v>
      </c>
      <c r="H86" s="202">
        <f t="shared" si="6"/>
        <v>-169.57482000535879</v>
      </c>
      <c r="I86" s="216">
        <f t="shared" si="6"/>
        <v>-39.132650770467421</v>
      </c>
      <c r="J86" s="43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0"/>
      <c r="AP86" s="460"/>
      <c r="AQ86" s="460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</row>
    <row r="87" spans="1:106" customFormat="1">
      <c r="A87" s="460"/>
      <c r="B87" s="497"/>
      <c r="C87" s="115"/>
      <c r="D87" s="115"/>
      <c r="E87" s="115"/>
      <c r="G87" s="115"/>
      <c r="H87" s="115"/>
      <c r="I87" s="115"/>
      <c r="J87" s="43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</row>
    <row r="88" spans="1:106" customFormat="1" ht="14" thickBot="1">
      <c r="A88" s="460"/>
      <c r="B88" s="519" t="s">
        <v>434</v>
      </c>
      <c r="C88" s="148"/>
      <c r="D88" s="148"/>
      <c r="E88" s="148"/>
      <c r="F88" s="148"/>
      <c r="G88" s="148"/>
      <c r="H88" s="148"/>
      <c r="I88" s="148"/>
      <c r="J88" s="59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</row>
    <row r="89" spans="1:106">
      <c r="B89" s="499"/>
      <c r="C89" s="499"/>
      <c r="D89" s="499"/>
      <c r="E89" s="499"/>
      <c r="F89" s="499"/>
      <c r="G89" s="499"/>
      <c r="H89" s="499"/>
      <c r="I89" s="499"/>
      <c r="J89" s="499"/>
    </row>
    <row r="90" spans="1:106" s="499" customFormat="1"/>
    <row r="91" spans="1:106" s="499" customFormat="1"/>
    <row r="92" spans="1:106" s="499" customFormat="1"/>
    <row r="93" spans="1:106" s="499" customFormat="1"/>
    <row r="94" spans="1:106" s="499" customFormat="1"/>
    <row r="95" spans="1:106" s="499" customFormat="1"/>
    <row r="96" spans="1:106" s="499" customFormat="1"/>
    <row r="97" s="499" customFormat="1"/>
    <row r="98" s="499" customFormat="1"/>
    <row r="99" s="499" customFormat="1"/>
    <row r="100" s="499" customFormat="1"/>
    <row r="101" s="499" customFormat="1"/>
    <row r="102" s="499" customFormat="1"/>
    <row r="103" s="499" customFormat="1"/>
    <row r="104" s="499" customFormat="1"/>
    <row r="105" s="499" customFormat="1"/>
    <row r="106" s="499" customFormat="1"/>
    <row r="107" s="499" customFormat="1"/>
    <row r="108" s="499" customFormat="1"/>
    <row r="109" s="499" customFormat="1"/>
    <row r="110" s="499" customFormat="1"/>
    <row r="111" s="499" customFormat="1"/>
    <row r="112" s="499" customFormat="1"/>
    <row r="113" s="499" customFormat="1"/>
    <row r="114" s="499" customFormat="1"/>
    <row r="115" s="499" customFormat="1"/>
    <row r="116" s="499" customFormat="1"/>
    <row r="117" s="499" customFormat="1"/>
    <row r="118" s="499" customFormat="1"/>
    <row r="119" s="499" customFormat="1"/>
    <row r="120" s="499" customFormat="1"/>
    <row r="121" s="499" customFormat="1"/>
    <row r="122" s="499" customFormat="1"/>
    <row r="123" s="499" customFormat="1"/>
    <row r="124" s="499" customFormat="1"/>
    <row r="125" s="499" customFormat="1"/>
    <row r="126" s="499" customFormat="1"/>
    <row r="127" s="499" customFormat="1"/>
    <row r="128" s="499" customFormat="1"/>
    <row r="129" s="499" customFormat="1"/>
    <row r="130" s="499" customFormat="1"/>
    <row r="131" s="499" customFormat="1"/>
    <row r="132" s="499" customFormat="1"/>
    <row r="133" s="499" customFormat="1"/>
    <row r="134" s="499" customFormat="1"/>
    <row r="135" s="499" customFormat="1"/>
    <row r="136" s="499" customFormat="1"/>
    <row r="137" s="499" customFormat="1"/>
    <row r="138" s="499" customFormat="1"/>
    <row r="139" s="499" customFormat="1"/>
    <row r="140" s="499" customFormat="1"/>
    <row r="141" s="499" customFormat="1"/>
    <row r="142" s="499" customFormat="1"/>
    <row r="143" s="499" customFormat="1"/>
    <row r="144" s="499" customFormat="1"/>
    <row r="145" s="499" customFormat="1"/>
    <row r="146" s="499" customFormat="1"/>
    <row r="147" s="499" customFormat="1"/>
    <row r="148" s="499" customFormat="1"/>
    <row r="149" s="499" customFormat="1"/>
    <row r="150" s="499" customFormat="1"/>
    <row r="151" s="499" customFormat="1"/>
    <row r="152" s="499" customFormat="1"/>
    <row r="153" s="499" customFormat="1"/>
    <row r="154" s="499" customFormat="1"/>
    <row r="155" s="499" customFormat="1"/>
    <row r="156" s="499" customFormat="1"/>
    <row r="157" s="499" customFormat="1"/>
    <row r="158" s="499" customFormat="1"/>
    <row r="159" s="499" customFormat="1"/>
    <row r="160" s="499" customFormat="1"/>
    <row r="161" spans="2:10" s="499" customFormat="1"/>
    <row r="162" spans="2:10" s="499" customFormat="1"/>
    <row r="163" spans="2:10" s="499" customFormat="1"/>
    <row r="164" spans="2:10" s="499" customFormat="1"/>
    <row r="165" spans="2:10" s="499" customFormat="1"/>
    <row r="166" spans="2:10" s="499" customFormat="1"/>
    <row r="167" spans="2:10" s="499" customFormat="1"/>
    <row r="168" spans="2:10" s="499" customFormat="1"/>
    <row r="169" spans="2:10" s="499" customFormat="1"/>
    <row r="170" spans="2:10" s="499" customFormat="1">
      <c r="B170" s="115"/>
      <c r="C170" s="115"/>
      <c r="D170" s="115"/>
      <c r="E170" s="115"/>
      <c r="F170" s="115"/>
      <c r="G170" s="115"/>
      <c r="H170" s="115"/>
      <c r="I170" s="115"/>
      <c r="J170" s="115"/>
    </row>
  </sheetData>
  <conditionalFormatting sqref="C78 C80">
    <cfRule type="cellIs" dxfId="2" priority="1" operator="lessThan">
      <formula>0</formula>
    </cfRule>
  </conditionalFormatting>
  <dataValidations count="10">
    <dataValidation type="list" allowBlank="1" showInputMessage="1" showErrorMessage="1" sqref="D25" xr:uid="{1A025EB9-A64F-8B4C-8152-8A73B6FA5B92}">
      <formula1>#REF!</formula1>
    </dataValidation>
    <dataValidation allowBlank="1" showInputMessage="1" showErrorMessage="1" promptTitle="Enter number of days " prompt="Enter number of days paid leave offered to staff per year (not including holidays where program is closed)" sqref="D29" xr:uid="{FC7E9E1A-3DEE-1046-A3DE-55850F448199}"/>
    <dataValidation allowBlank="1" showDropDown="1" showInputMessage="1" showErrorMessage="1" sqref="D24" xr:uid="{37D7946A-64BD-514E-BDFC-2F045BA05D67}"/>
    <dataValidation type="list" allowBlank="1" showInputMessage="1" showErrorMessage="1" sqref="D27" xr:uid="{88EA5AC0-A86D-004D-BD8B-9BE72EAEB206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21AC3C1A-B286-814F-9BAC-349D71DC1E45}">
      <formula1>0</formula1>
      <formula2>100</formula2>
    </dataValidation>
    <dataValidation type="list" allowBlank="1" showInputMessage="1" showErrorMessage="1" sqref="C16" xr:uid="{4EDBC2F7-58FD-034A-AF22-2345B9085A3D}">
      <formula1>$E$16:$G$16</formula1>
    </dataValidation>
    <dataValidation type="list" allowBlank="1" showInputMessage="1" showErrorMessage="1" sqref="C15" xr:uid="{4AEC1664-62D5-5742-A4B3-DB6FE5B0767E}">
      <formula1>$E$15:$F$15</formula1>
    </dataValidation>
    <dataValidation type="list" allowBlank="1" showInputMessage="1" showErrorMessage="1" sqref="F3" xr:uid="{8890BE5F-FEBB-F141-BB42-214360F87299}">
      <formula1>$H$3:$I$3</formula1>
    </dataValidation>
    <dataValidation type="list" allowBlank="1" showInputMessage="1" showErrorMessage="1" sqref="D23" xr:uid="{1799D5F8-EFF6-1945-A400-487A373F8DF7}">
      <formula1>$I$23:$M$23</formula1>
    </dataValidation>
    <dataValidation type="list" allowBlank="1" showInputMessage="1" showErrorMessage="1" sqref="F2" xr:uid="{656B74DB-9BD9-914C-AB41-6C97658BA5E0}">
      <formula1>$G$2:$J$2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W69"/>
  <sheetViews>
    <sheetView topLeftCell="A30" workbookViewId="0">
      <selection activeCell="D54" sqref="D54"/>
    </sheetView>
  </sheetViews>
  <sheetFormatPr baseColWidth="10" defaultColWidth="9.1640625" defaultRowHeight="13"/>
  <cols>
    <col min="1" max="1" width="9.33203125" style="115" customWidth="1"/>
    <col min="2" max="2" width="44.33203125" style="115" customWidth="1"/>
    <col min="3" max="3" width="15.83203125" style="115" customWidth="1"/>
    <col min="4" max="4" width="14" style="115" customWidth="1"/>
    <col min="5" max="5" width="14.33203125" style="115" customWidth="1"/>
    <col min="6" max="6" width="11.33203125" style="115" customWidth="1"/>
    <col min="7" max="7" width="12.83203125" style="115" customWidth="1"/>
    <col min="8" max="8" width="17.6640625" style="115" customWidth="1"/>
    <col min="9" max="9" width="10.83203125" style="115" customWidth="1"/>
    <col min="10" max="10" width="10.1640625" style="115" bestFit="1" customWidth="1"/>
    <col min="11" max="11" width="9.83203125" style="115" customWidth="1"/>
    <col min="12" max="13" width="12.1640625" style="115" customWidth="1"/>
    <col min="14" max="14" width="10.5" style="115" customWidth="1"/>
    <col min="15" max="15" width="13.5" style="115" customWidth="1"/>
    <col min="16" max="16" width="22.33203125" style="115" customWidth="1"/>
    <col min="17" max="17" width="12.83203125" style="115" customWidth="1"/>
    <col min="18" max="18" width="2.5" style="115" customWidth="1"/>
    <col min="19" max="19" width="9.1640625" style="115"/>
    <col min="20" max="20" width="10.5" style="115" customWidth="1"/>
    <col min="21" max="21" width="10.83203125" style="115" bestFit="1" customWidth="1"/>
    <col min="22" max="16384" width="9.1640625" style="115"/>
  </cols>
  <sheetData>
    <row r="1" spans="1:23">
      <c r="A1" s="120" t="s">
        <v>185</v>
      </c>
      <c r="B1" s="125"/>
      <c r="C1" s="125"/>
      <c r="D1" s="120" t="str">
        <f>'VariablesINPUT-FCC'!F2</f>
        <v>Licensing/Star 2</v>
      </c>
      <c r="E1" s="120"/>
    </row>
    <row r="2" spans="1:23" ht="28">
      <c r="A2" s="118"/>
      <c r="B2" s="126" t="s">
        <v>71</v>
      </c>
      <c r="C2" s="118"/>
      <c r="D2" s="127"/>
      <c r="E2" s="115" t="s">
        <v>72</v>
      </c>
      <c r="S2" s="128"/>
    </row>
    <row r="3" spans="1:23" ht="14">
      <c r="A3" s="118"/>
      <c r="B3" s="126" t="s">
        <v>73</v>
      </c>
      <c r="C3" s="118"/>
      <c r="D3" s="129"/>
      <c r="E3" s="115" t="s">
        <v>74</v>
      </c>
    </row>
    <row r="4" spans="1:23">
      <c r="A4" s="116"/>
      <c r="B4" s="130"/>
      <c r="C4" s="131"/>
      <c r="D4" s="131"/>
      <c r="E4" s="131"/>
      <c r="F4" s="131"/>
      <c r="G4" s="131"/>
    </row>
    <row r="5" spans="1:23" ht="15">
      <c r="B5" s="132"/>
      <c r="C5" s="133" t="s">
        <v>186</v>
      </c>
      <c r="D5" s="115" t="s">
        <v>187</v>
      </c>
      <c r="E5" s="134"/>
      <c r="F5" s="235" t="s">
        <v>188</v>
      </c>
      <c r="G5" s="115" t="s">
        <v>100</v>
      </c>
      <c r="H5" s="237" t="s">
        <v>189</v>
      </c>
      <c r="I5" s="239" t="s">
        <v>190</v>
      </c>
      <c r="J5" s="237" t="s">
        <v>191</v>
      </c>
      <c r="K5" s="237" t="s">
        <v>192</v>
      </c>
      <c r="L5" s="338" t="s">
        <v>193</v>
      </c>
      <c r="M5" s="338" t="s">
        <v>13</v>
      </c>
      <c r="N5" s="118" t="s">
        <v>95</v>
      </c>
      <c r="O5" s="118"/>
      <c r="Q5" s="135"/>
      <c r="R5" s="118"/>
      <c r="S5" s="118"/>
    </row>
    <row r="6" spans="1:23" ht="15">
      <c r="A6" s="129">
        <f>'VariablesINPUT-FCC'!C7</f>
        <v>4</v>
      </c>
      <c r="B6" s="119" t="s">
        <v>9</v>
      </c>
      <c r="C6" s="136">
        <f>IF(A6&gt;0,G6,0)</f>
        <v>13545.029253454804</v>
      </c>
      <c r="D6" s="156">
        <f>C6*A6</f>
        <v>54180.117013819217</v>
      </c>
      <c r="E6" s="341">
        <f>C6/12</f>
        <v>1128.7524377879004</v>
      </c>
      <c r="F6" s="236">
        <f>$D$49/A$11</f>
        <v>11951.496400107177</v>
      </c>
      <c r="G6" s="335">
        <f>IF(A6&gt;0,N6/A6,0)</f>
        <v>13545.029253454804</v>
      </c>
      <c r="H6" s="339">
        <f>SUM(I6:M6)</f>
        <v>47805.985600428721</v>
      </c>
      <c r="I6" s="346">
        <f>SUM(D20/A$11*A6)</f>
        <v>24900.079999999998</v>
      </c>
      <c r="J6" s="339">
        <f>SUM($D$27/$A$11)*A6</f>
        <v>2527.3581199999994</v>
      </c>
      <c r="K6" s="339">
        <f>SUM(D$33/$A$11)*A6</f>
        <v>5920.871794871794</v>
      </c>
      <c r="L6" s="339">
        <f>D$46*A6</f>
        <v>11470.88635222359</v>
      </c>
      <c r="M6" s="339">
        <f>SUM(D$48/A$11)*A6</f>
        <v>2986.7893333333336</v>
      </c>
      <c r="N6" s="383">
        <f>SUM(H6,O$13*A6)</f>
        <v>54180.117013819217</v>
      </c>
      <c r="P6" s="135"/>
    </row>
    <row r="7" spans="1:23" ht="15">
      <c r="A7" s="129">
        <f>'VariablesINPUT-FCC'!C8</f>
        <v>2</v>
      </c>
      <c r="B7" s="119" t="s">
        <v>194</v>
      </c>
      <c r="C7" s="136">
        <f>IF(A7&gt;0,G7,0)</f>
        <v>13545.029253454804</v>
      </c>
      <c r="D7" s="156">
        <f>C7*A7</f>
        <v>27090.058506909609</v>
      </c>
      <c r="E7" s="341">
        <f t="shared" ref="E7:E10" si="0">C7/12</f>
        <v>1128.7524377879004</v>
      </c>
      <c r="F7" s="236">
        <f>$D$49/A$11</f>
        <v>11951.496400107177</v>
      </c>
      <c r="G7" s="335">
        <f>IF(A7&gt;0,N7/A7,0)</f>
        <v>13545.029253454804</v>
      </c>
      <c r="H7" s="339">
        <f t="shared" ref="H7:H10" si="1">SUM(I7:M7)</f>
        <v>23902.992800214361</v>
      </c>
      <c r="I7" s="346">
        <f>SUM(D$20/A$11*A7)</f>
        <v>12450.039999999999</v>
      </c>
      <c r="J7" s="339">
        <f>SUM($D$27/$A$11)*A7</f>
        <v>1263.6790599999997</v>
      </c>
      <c r="K7" s="339">
        <f>SUM(D$33/$A$11)*A7</f>
        <v>2960.435897435897</v>
      </c>
      <c r="L7" s="339">
        <f>D$46*A7</f>
        <v>5735.4431761117949</v>
      </c>
      <c r="M7" s="339">
        <f t="shared" ref="M7:M10" si="2">SUM(D$48/A$11)*A7</f>
        <v>1493.3946666666668</v>
      </c>
      <c r="N7" s="383">
        <f>SUM(H7,O$13*A7)</f>
        <v>27090.058506909609</v>
      </c>
      <c r="P7" s="139"/>
      <c r="Q7" s="139"/>
      <c r="R7" s="140"/>
      <c r="S7" s="124"/>
      <c r="U7" s="124"/>
    </row>
    <row r="8" spans="1:23" ht="15">
      <c r="A8" s="129">
        <f>'VariablesINPUT-FCC'!C9</f>
        <v>2</v>
      </c>
      <c r="B8" s="119" t="s">
        <v>195</v>
      </c>
      <c r="C8" s="136">
        <f>IF(A8&gt;0,G8,0)</f>
        <v>13545.029253454804</v>
      </c>
      <c r="D8" s="156">
        <f>C8*A8</f>
        <v>27090.058506909609</v>
      </c>
      <c r="E8" s="341">
        <f t="shared" si="0"/>
        <v>1128.7524377879004</v>
      </c>
      <c r="F8" s="236">
        <f>$D$49/A$11</f>
        <v>11951.496400107177</v>
      </c>
      <c r="G8" s="335">
        <f>IF(A8&gt;0,N8/A8,0)</f>
        <v>13545.029253454804</v>
      </c>
      <c r="H8" s="339">
        <f t="shared" si="1"/>
        <v>23902.992800214361</v>
      </c>
      <c r="I8" s="346">
        <f>SUM(D$20/A$11*A8)</f>
        <v>12450.039999999999</v>
      </c>
      <c r="J8" s="339">
        <f>SUM($D$27/$A$11)*A8</f>
        <v>1263.6790599999997</v>
      </c>
      <c r="K8" s="339">
        <f>SUM(D$33/$A$11)*A8</f>
        <v>2960.435897435897</v>
      </c>
      <c r="L8" s="339">
        <f>D$46*A8</f>
        <v>5735.4431761117949</v>
      </c>
      <c r="M8" s="339">
        <f t="shared" si="2"/>
        <v>1493.3946666666668</v>
      </c>
      <c r="N8" s="383">
        <f>SUM(H8,O$13*A8)</f>
        <v>27090.058506909609</v>
      </c>
      <c r="P8" s="139"/>
      <c r="Q8" s="139"/>
      <c r="R8" s="140"/>
      <c r="S8" s="124"/>
      <c r="W8" s="124"/>
    </row>
    <row r="9" spans="1:23" ht="15">
      <c r="A9" s="129">
        <f>'VariablesINPUT-FCC'!C10</f>
        <v>1</v>
      </c>
      <c r="B9" s="119" t="s">
        <v>196</v>
      </c>
      <c r="C9" s="136">
        <f>IF(A9&gt;0,G9,0)</f>
        <v>13545.029253454804</v>
      </c>
      <c r="D9" s="156">
        <f>C9*A9</f>
        <v>13545.029253454804</v>
      </c>
      <c r="E9" s="341">
        <f t="shared" si="0"/>
        <v>1128.7524377879004</v>
      </c>
      <c r="F9" s="236">
        <f>$D$49/A$11</f>
        <v>11951.496400107177</v>
      </c>
      <c r="G9" s="335">
        <f>IF(A9&gt;0,N9/A9,0)</f>
        <v>13545.029253454804</v>
      </c>
      <c r="H9" s="339">
        <f t="shared" si="1"/>
        <v>11951.49640010718</v>
      </c>
      <c r="I9" s="346">
        <f>SUM(D$20/A$11*A9)</f>
        <v>6225.0199999999995</v>
      </c>
      <c r="J9" s="339">
        <f>SUM($D$27/$A$11)*A9</f>
        <v>631.83952999999985</v>
      </c>
      <c r="K9" s="339">
        <f>SUM(D$33/$A$11)*A9</f>
        <v>1480.2179487179485</v>
      </c>
      <c r="L9" s="339">
        <f>D$46*A9</f>
        <v>2867.7215880558974</v>
      </c>
      <c r="M9" s="339">
        <f t="shared" si="2"/>
        <v>746.6973333333334</v>
      </c>
      <c r="N9" s="383">
        <f>SUM(H9,O$13*A9)</f>
        <v>13545.029253454804</v>
      </c>
      <c r="P9" s="139"/>
      <c r="Q9" s="139"/>
      <c r="R9" s="140"/>
      <c r="S9" s="124"/>
    </row>
    <row r="10" spans="1:23" ht="15">
      <c r="A10" s="129">
        <f>'VariablesINPUT-FCC'!C11</f>
        <v>3</v>
      </c>
      <c r="B10" s="119" t="s">
        <v>10</v>
      </c>
      <c r="C10" s="136">
        <f>IF(A10&gt;0,G10,0)</f>
        <v>7170.8978400643055</v>
      </c>
      <c r="D10" s="156">
        <f>C10*A10</f>
        <v>21512.693520192915</v>
      </c>
      <c r="E10" s="341">
        <f t="shared" si="0"/>
        <v>597.57482000535879</v>
      </c>
      <c r="F10" s="238">
        <f>$D$49/A$11</f>
        <v>11951.496400107177</v>
      </c>
      <c r="G10" s="335">
        <f>IF(A10&gt;0,N10/A10,0)</f>
        <v>7170.8978400643055</v>
      </c>
      <c r="H10" s="339">
        <f t="shared" si="1"/>
        <v>35854.489200321528</v>
      </c>
      <c r="I10" s="346">
        <f>SUM(E$20/A$11*A10)</f>
        <v>18675.059999999998</v>
      </c>
      <c r="J10" s="339">
        <f>SUM($D$27/$A$11)*A10</f>
        <v>1895.5185899999997</v>
      </c>
      <c r="K10" s="339">
        <f>SUM(D$33/$A$11)*A10</f>
        <v>4440.6538461538457</v>
      </c>
      <c r="L10" s="339">
        <f>D$46*A10</f>
        <v>8603.1647641676918</v>
      </c>
      <c r="M10" s="339">
        <f t="shared" si="2"/>
        <v>2240.0920000000001</v>
      </c>
      <c r="N10" s="184">
        <f>H10*60%</f>
        <v>21512.693520192915</v>
      </c>
      <c r="P10" s="139"/>
      <c r="Q10" s="139"/>
      <c r="R10" s="140"/>
      <c r="S10" s="124"/>
    </row>
    <row r="11" spans="1:23" ht="15">
      <c r="A11" s="154">
        <f>SUM(A6:A10)</f>
        <v>12</v>
      </c>
      <c r="B11" s="141" t="s">
        <v>197</v>
      </c>
      <c r="C11" s="142"/>
      <c r="D11" s="293">
        <f>SUM(D6:D10)</f>
        <v>143417.95680128614</v>
      </c>
      <c r="E11" s="143" t="str">
        <f>IF(F13=0,"Correct", "Error" )</f>
        <v>Correct</v>
      </c>
      <c r="F11" s="294">
        <f>D11</f>
        <v>143417.95680128614</v>
      </c>
      <c r="G11" s="134"/>
      <c r="H11" s="340">
        <f t="shared" ref="H11:M11" si="3">SUM(H6:H10)</f>
        <v>143417.95680128614</v>
      </c>
      <c r="I11" s="340">
        <f>SUM(I6:I10)</f>
        <v>74700.239999999991</v>
      </c>
      <c r="J11" s="340">
        <f>SUM(J6:J10)</f>
        <v>7582.0743599999987</v>
      </c>
      <c r="K11" s="340">
        <f>SUM(K6:K10)</f>
        <v>17762.615384615383</v>
      </c>
      <c r="L11" s="340">
        <f t="shared" si="3"/>
        <v>34412.659056670767</v>
      </c>
      <c r="M11" s="340">
        <f t="shared" si="3"/>
        <v>8960.3680000000004</v>
      </c>
      <c r="N11" s="340">
        <f>SUM(N6:N10)</f>
        <v>143417.95680128614</v>
      </c>
      <c r="P11" s="139"/>
      <c r="Q11" s="139"/>
      <c r="R11" s="140"/>
      <c r="S11" s="124"/>
    </row>
    <row r="12" spans="1:23">
      <c r="A12" s="365">
        <f>SUM(A6:A9)</f>
        <v>9</v>
      </c>
      <c r="B12" s="119"/>
      <c r="D12" s="137">
        <f>D11-D49</f>
        <v>0</v>
      </c>
      <c r="F12" s="295">
        <f>D49</f>
        <v>143417.95680128611</v>
      </c>
      <c r="I12" s="382"/>
      <c r="K12" s="138"/>
      <c r="L12" s="138"/>
      <c r="M12" s="138"/>
      <c r="N12" s="138"/>
      <c r="O12" s="381">
        <f>H10-N10</f>
        <v>14341.795680128613</v>
      </c>
      <c r="Q12" s="139"/>
      <c r="R12" s="139"/>
      <c r="S12" s="140"/>
      <c r="T12" s="124"/>
    </row>
    <row r="13" spans="1:23" ht="17">
      <c r="A13" s="316">
        <f>SUM(A6:A7)</f>
        <v>6</v>
      </c>
      <c r="B13" s="144" t="s">
        <v>198</v>
      </c>
      <c r="C13" s="145"/>
      <c r="F13" s="295">
        <f>F11-F12</f>
        <v>0</v>
      </c>
      <c r="I13" s="381"/>
      <c r="J13" s="184"/>
      <c r="K13" s="138"/>
      <c r="L13" s="138"/>
      <c r="M13" s="138"/>
      <c r="N13" s="138"/>
      <c r="O13" s="381">
        <f>O12/SUM(A6:A9)</f>
        <v>1593.5328533476236</v>
      </c>
      <c r="Q13" s="139"/>
      <c r="R13" s="139"/>
      <c r="S13" s="140"/>
      <c r="T13" s="124"/>
      <c r="U13" s="139"/>
    </row>
    <row r="14" spans="1:23" ht="18" thickBot="1">
      <c r="B14" s="146" t="s">
        <v>199</v>
      </c>
      <c r="C14" s="147"/>
      <c r="D14" s="148"/>
      <c r="E14" s="148"/>
      <c r="F14" s="148"/>
      <c r="G14" s="147"/>
      <c r="H14" s="19" t="s">
        <v>101</v>
      </c>
      <c r="L14"/>
      <c r="M14" s="442">
        <v>0</v>
      </c>
      <c r="N14" s="29" t="s">
        <v>430</v>
      </c>
      <c r="O14" s="334"/>
      <c r="P14" s="334"/>
      <c r="Q14" s="139"/>
      <c r="S14" s="140"/>
      <c r="T14" s="124"/>
      <c r="U14" s="139"/>
    </row>
    <row r="15" spans="1:23" ht="16">
      <c r="B15" s="149"/>
      <c r="C15" s="115" t="s">
        <v>67</v>
      </c>
      <c r="D15" s="115" t="s">
        <v>93</v>
      </c>
      <c r="E15" s="150" t="s">
        <v>200</v>
      </c>
      <c r="F15" s="115" t="s">
        <v>201</v>
      </c>
      <c r="H15" s="75" t="s">
        <v>2</v>
      </c>
      <c r="I15" s="302" t="s">
        <v>1</v>
      </c>
      <c r="J15" s="302" t="s">
        <v>3</v>
      </c>
      <c r="K15" s="302" t="s">
        <v>4</v>
      </c>
      <c r="L15" s="204"/>
      <c r="M15" s="29" t="s">
        <v>2</v>
      </c>
      <c r="N15" s="302" t="s">
        <v>1</v>
      </c>
      <c r="O15" s="303" t="s">
        <v>3</v>
      </c>
      <c r="P15" s="302" t="s">
        <v>4</v>
      </c>
      <c r="Q15" s="124"/>
      <c r="R15" s="139"/>
    </row>
    <row r="16" spans="1:23" ht="14">
      <c r="A16" s="186">
        <v>1</v>
      </c>
      <c r="B16" s="119" t="s">
        <v>202</v>
      </c>
      <c r="C16" s="291">
        <f>IF(D$1="Licensing/Star 2",H16+M16,IF(D$1="Star 2+/3",I16+N16,IF(D$1="Star 4",J16+O16,K16+P16)))</f>
        <v>43140.24</v>
      </c>
      <c r="D16" s="343">
        <f>SUM(E16:G16)</f>
        <v>43140.24</v>
      </c>
      <c r="E16" s="151">
        <f>C16*A16</f>
        <v>43140.24</v>
      </c>
      <c r="H16" s="370">
        <f>IF(SalaryScaleFCC="BLS adj min wage",Wages!B17,
IF(SalaryScaleFCC="BLS adj $12.10",Wages!B28,
IF(SalaryScaleFCC="Kindergarten Parity",Wages!$E6,
IF(SalaryScaleFCC="User added",Wages!$G6,IF(SalaryScaleFCC="$15 min wage",Wages!B38,IF(SalaryScaleFCC="$18 min wage",Wages!B48,IF(SalaryScaleFCC="$20 min wage",Wages!B59,0)))))))</f>
        <v>43140.24</v>
      </c>
      <c r="I16" s="370">
        <f>IF(SalaryScaleFCC="BLS adj min wage",Wages!C17,
IF(SalaryScaleFCC="BLS adj $12.10",Wages!C28,
IF(SalaryScaleFCC="Kindergarten Parity",Wages!$E6,
IF(SalaryScaleFCC="User added",Wages!$G6,IF(SalaryScaleFCC="$15 min wage",Wages!C38,IF(SalaryScaleFCC="$18 min wage",Wages!C48,IF(SalaryScaleFCC="$20 min wage",Wages!C59,0)))))))</f>
        <v>43140.24</v>
      </c>
      <c r="J16" s="370">
        <f>IF(SalaryScaleFCC="BLS adj min wage",Wages!D17,
IF(SalaryScaleFCC="BLS adj $12.10",Wages!D28,
IF(SalaryScaleFCC="Kindergarten Parity",Wages!$E6,
IF(SalaryScaleFCC="User added",Wages!$G6,IF(SalaryScaleFCC="$15 min wage",Wages!D38,IF(SalaryScaleFCC="$18 min wage",Wages!D48,IF(SalaryScaleFCC="$20 min wage",Wages!D59,0)))))))</f>
        <v>47454.264000000003</v>
      </c>
      <c r="K16" s="370">
        <f>IF(SalaryScaleFCC="BLS adj min wage",Wages!E17,
IF(SalaryScaleFCC="BLS adj $12.10",Wages!E28,
IF(SalaryScaleFCC="Kindergarten Parity",Wages!$E6,
IF(SalaryScaleFCC="User added",Wages!$G6,IF(SalaryScaleFCC="$15 min wage",Wages!E38,IF(SalaryScaleFCC="$18 min wage",Wages!E48,IF(SalaryScaleFCC="$20 min wage",Wages!E59,0)))))))</f>
        <v>51768.287999999993</v>
      </c>
      <c r="L16" s="38"/>
      <c r="M16" s="369">
        <f>SUM($M$14*H16)</f>
        <v>0</v>
      </c>
      <c r="N16" s="369">
        <f t="shared" ref="N16:P17" si="4">SUM($M$14*I16)</f>
        <v>0</v>
      </c>
      <c r="O16" s="369">
        <f t="shared" si="4"/>
        <v>0</v>
      </c>
      <c r="P16" s="369">
        <f t="shared" si="4"/>
        <v>0</v>
      </c>
      <c r="Q16" s="124"/>
      <c r="R16" s="139"/>
    </row>
    <row r="17" spans="1:18" ht="14">
      <c r="A17" s="185">
        <f>IF(A11&gt;6,1,0)</f>
        <v>1</v>
      </c>
      <c r="B17" s="119" t="s">
        <v>203</v>
      </c>
      <c r="C17" s="291">
        <f>IF(D$1="Licensing/Star 2",H17+M17,IF(D$1="Star 2+/3",I17+N17,IF(D$1="Star 4",J17+O17,K17+P17)))</f>
        <v>31200</v>
      </c>
      <c r="D17" s="343">
        <f>SUM(E17:G17)</f>
        <v>31200</v>
      </c>
      <c r="E17" s="151">
        <f>C17*A17</f>
        <v>31200</v>
      </c>
      <c r="G17" s="151"/>
      <c r="H17" s="370">
        <f>IF(SalaryScaleFCC="BLS adj min wage",Wages!B18,
IF(SalaryScaleFCC="BLS adj $12.10",Wages!B29,
IF(SalaryScaleFCC="Kindergarten Parity",Wages!$E7,
IF(SalaryScaleFCC="User added",Wages!$G7,IF(SalaryScaleFCC="$15 min wage",Wages!B39,IF(SalaryScaleFCC="$18 min wage",Wages!B49,IF(SalaryScaleFCC="$20 min wage",Wages!B60,0)))))))</f>
        <v>31200</v>
      </c>
      <c r="I17" s="370">
        <f>IF(SalaryScaleFCC="BLS adj min wage",Wages!C18,
IF(SalaryScaleFCC="BLS adj $12.10",Wages!C29,
IF(SalaryScaleFCC="Kindergarten Parity",Wages!$E7,
IF(SalaryScaleFCC="User added",Wages!$G7,IF(SalaryScaleFCC="$15 min wage",Wages!C39,IF(SalaryScaleFCC="$18 min wage",Wages!C49,IF(SalaryScaleFCC="$20 min wage",Wages!C60,0)))))))</f>
        <v>31200</v>
      </c>
      <c r="J17" s="370">
        <f>IF(SalaryScaleFCC="BLS adj min wage",Wages!D18,
IF(SalaryScaleFCC="BLS adj $12.10",Wages!D29,
IF(SalaryScaleFCC="Kindergarten Parity",Wages!$E7,
IF(SalaryScaleFCC="User added",Wages!$G7,IF(SalaryScaleFCC="$15 min wage",Wages!D39,IF(SalaryScaleFCC="$18 min wage",Wages!D49,IF(SalaryScaleFCC="$20 min wage",Wages!D60,0)))))))</f>
        <v>34320</v>
      </c>
      <c r="K17" s="370">
        <f>IF(SalaryScaleFCC="BLS adj min wage",Wages!E18,
IF(SalaryScaleFCC="BLS adj $12.10",Wages!E29,
IF(SalaryScaleFCC="Kindergarten Parity",Wages!$E7,
IF(SalaryScaleFCC="User added",Wages!$G7,IF(SalaryScaleFCC="$15 min wage",Wages!E39,IF(SalaryScaleFCC="$18 min wage",Wages!E49,IF(SalaryScaleFCC="$20 min wage",Wages!E60,0)))))))</f>
        <v>37440</v>
      </c>
      <c r="L17" s="38"/>
      <c r="M17" s="369">
        <f>SUM($M$14*H17)</f>
        <v>0</v>
      </c>
      <c r="N17" s="369">
        <f t="shared" si="4"/>
        <v>0</v>
      </c>
      <c r="O17" s="369">
        <f t="shared" si="4"/>
        <v>0</v>
      </c>
      <c r="P17" s="369">
        <f t="shared" si="4"/>
        <v>0</v>
      </c>
      <c r="Q17" s="124"/>
      <c r="R17" s="139"/>
    </row>
    <row r="18" spans="1:18" ht="14">
      <c r="A18" s="185">
        <f>IF(A11&lt;7,IF(A6&gt;2,1,0),0)</f>
        <v>0</v>
      </c>
      <c r="B18" s="119" t="s">
        <v>204</v>
      </c>
      <c r="C18" s="291">
        <f>C17</f>
        <v>31200</v>
      </c>
      <c r="D18" s="343">
        <f>SUM(F18:G18)</f>
        <v>0</v>
      </c>
      <c r="F18" s="151">
        <f>C18*A18</f>
        <v>0</v>
      </c>
      <c r="H18" s="38"/>
      <c r="I18"/>
      <c r="L18" s="124"/>
      <c r="M18" s="369"/>
      <c r="N18" s="369"/>
      <c r="O18" s="369"/>
      <c r="P18" s="369"/>
    </row>
    <row r="19" spans="1:18" ht="15">
      <c r="A19" s="390">
        <f>IF(D1="Licensing/Star 2",(12*A20),IF(D1="Star 2+/3",(2+((12+2.5)*A20)),IF(D1="Star 4",(3+(12+2.5)*A20),IF(D1="Star 5",(4+(12+2.5)*A20),0))))/2080</f>
        <v>1.1538461538461539E-2</v>
      </c>
      <c r="B19" s="119" t="s">
        <v>205</v>
      </c>
      <c r="C19" s="291">
        <f>C17</f>
        <v>31200</v>
      </c>
      <c r="D19" s="343">
        <f>SUM(E19:F19)</f>
        <v>360</v>
      </c>
      <c r="E19" s="151">
        <f>(C19*A19)</f>
        <v>360</v>
      </c>
      <c r="F19" s="152"/>
      <c r="G19" s="389"/>
      <c r="H19" s="393"/>
      <c r="I19" s="240"/>
      <c r="J19" s="134"/>
      <c r="K19" s="140"/>
      <c r="L19" s="137"/>
      <c r="M19" s="70"/>
      <c r="N19" s="221"/>
      <c r="O19" s="219"/>
      <c r="P19" s="222"/>
      <c r="Q19"/>
    </row>
    <row r="20" spans="1:18">
      <c r="A20" s="153">
        <f>SUM(A16:A18)</f>
        <v>2</v>
      </c>
      <c r="B20" s="117" t="s">
        <v>206</v>
      </c>
      <c r="D20" s="155">
        <f>SUM(E20:F20)</f>
        <v>74700.239999999991</v>
      </c>
      <c r="E20" s="155">
        <f>SUM(E16:E19)</f>
        <v>74700.239999999991</v>
      </c>
      <c r="F20" s="155">
        <f>SUM(F16:F19)</f>
        <v>0</v>
      </c>
      <c r="G20" s="155"/>
      <c r="H20" s="364">
        <f>D20/6</f>
        <v>12450.039999999999</v>
      </c>
      <c r="I20" s="364"/>
      <c r="J20" s="184"/>
      <c r="K20" s="364"/>
      <c r="L20" s="137"/>
      <c r="M20" s="11"/>
      <c r="N20" s="221"/>
      <c r="O20" s="220"/>
      <c r="P20" s="222"/>
      <c r="Q20" s="5"/>
    </row>
    <row r="21" spans="1:18">
      <c r="A21" s="184"/>
      <c r="B21" s="119"/>
      <c r="E21" s="156"/>
      <c r="H21" s="140"/>
      <c r="I21" s="140"/>
      <c r="M21" s="369"/>
      <c r="N21" s="369"/>
      <c r="O21" s="369"/>
      <c r="P21" s="369"/>
      <c r="Q21"/>
    </row>
    <row r="22" spans="1:18" ht="15">
      <c r="B22" s="141" t="s">
        <v>207</v>
      </c>
      <c r="C22" s="122"/>
      <c r="D22" s="115" t="s">
        <v>93</v>
      </c>
      <c r="E22" s="156" t="s">
        <v>208</v>
      </c>
      <c r="F22" s="115" t="s">
        <v>201</v>
      </c>
      <c r="H22" s="134"/>
      <c r="I22" s="134"/>
      <c r="J22" s="134"/>
      <c r="M22" s="369"/>
      <c r="N22" s="369"/>
      <c r="O22" s="369"/>
      <c r="P22" s="369"/>
      <c r="Q22"/>
    </row>
    <row r="23" spans="1:18" ht="15">
      <c r="B23" s="119" t="s">
        <v>125</v>
      </c>
      <c r="C23" s="157">
        <v>6.2E-2</v>
      </c>
      <c r="D23" s="184">
        <f>SUM(E23:F23)</f>
        <v>4631.4148799999994</v>
      </c>
      <c r="E23" s="184">
        <f>SUM(E$16:E$17,E$19:E$19)*C23</f>
        <v>4631.4148799999994</v>
      </c>
      <c r="F23" s="184">
        <f>F$18*C23</f>
        <v>0</v>
      </c>
      <c r="G23" s="137"/>
      <c r="H23" s="134"/>
      <c r="I23" s="134"/>
      <c r="J23" s="134"/>
      <c r="M23" s="369"/>
      <c r="N23" s="369"/>
      <c r="O23" s="369"/>
      <c r="P23" s="369"/>
      <c r="Q23"/>
    </row>
    <row r="24" spans="1:18" ht="15">
      <c r="B24" s="119" t="s">
        <v>126</v>
      </c>
      <c r="C24" s="157">
        <v>1.4500000000000001E-2</v>
      </c>
      <c r="D24" s="184">
        <f>SUM(E24:F24)</f>
        <v>1083.1534799999999</v>
      </c>
      <c r="E24" s="184">
        <f>SUM(E$16:E$17,E$19:E$19)*C24</f>
        <v>1083.1534799999999</v>
      </c>
      <c r="F24" s="184">
        <f>F$18*C24</f>
        <v>0</v>
      </c>
      <c r="G24" s="137"/>
      <c r="H24" s="134"/>
      <c r="I24" s="134"/>
      <c r="J24" s="134"/>
      <c r="M24" s="369"/>
      <c r="N24" s="369"/>
      <c r="O24" s="369"/>
      <c r="P24" s="369"/>
      <c r="Q24" s="29"/>
    </row>
    <row r="25" spans="1:18" ht="15">
      <c r="B25" s="119" t="s">
        <v>209</v>
      </c>
      <c r="C25" s="157">
        <v>5.0000000000000001E-3</v>
      </c>
      <c r="D25" s="184">
        <f>SUM(E25:F25)</f>
        <v>373.50119999999998</v>
      </c>
      <c r="E25" s="184">
        <f>SUM(E$16:E$17,E$19:E$19)*C25</f>
        <v>373.50119999999998</v>
      </c>
      <c r="F25" s="184">
        <f>F$18*C25</f>
        <v>0</v>
      </c>
      <c r="G25" s="137"/>
      <c r="H25" s="134"/>
      <c r="I25" s="341"/>
      <c r="J25" s="134"/>
      <c r="K25" s="134"/>
      <c r="L25" s="134"/>
      <c r="M25" s="369"/>
      <c r="N25" s="369"/>
      <c r="O25" s="369"/>
      <c r="P25" s="369"/>
      <c r="Q25" s="134"/>
    </row>
    <row r="26" spans="1:18" ht="15">
      <c r="B26" s="119" t="s">
        <v>128</v>
      </c>
      <c r="C26" s="157">
        <v>0.02</v>
      </c>
      <c r="D26" s="184">
        <f>SUM(E26:F26)</f>
        <v>1494.0047999999999</v>
      </c>
      <c r="E26" s="184">
        <f>SUM(E$16:E$17,E$19:E$19)*C26</f>
        <v>1494.0047999999999</v>
      </c>
      <c r="F26" s="184">
        <f>F$18*C26</f>
        <v>0</v>
      </c>
      <c r="G26" s="137"/>
      <c r="H26" s="134"/>
      <c r="I26" s="385"/>
      <c r="J26" s="134"/>
      <c r="K26" s="134"/>
      <c r="L26" s="134"/>
      <c r="M26" s="369"/>
      <c r="N26" s="369"/>
      <c r="O26" s="369"/>
      <c r="P26" s="369"/>
      <c r="Q26" s="134"/>
    </row>
    <row r="27" spans="1:18" ht="14">
      <c r="B27" s="160" t="s">
        <v>129</v>
      </c>
      <c r="C27" s="161">
        <f>SUM(C23:C26)</f>
        <v>0.10150000000000001</v>
      </c>
      <c r="D27" s="418">
        <f t="shared" ref="D27:F27" si="5">SUM(D23:D26)</f>
        <v>7582.0743599999987</v>
      </c>
      <c r="E27" s="418">
        <f t="shared" si="5"/>
        <v>7582.0743599999987</v>
      </c>
      <c r="F27" s="418">
        <f t="shared" si="5"/>
        <v>0</v>
      </c>
      <c r="G27" s="142"/>
      <c r="H27" s="295">
        <f>E27/A11</f>
        <v>631.83952999999985</v>
      </c>
      <c r="I27" s="386">
        <f>SUM((F27*0.75))</f>
        <v>0</v>
      </c>
      <c r="J27" s="387">
        <f>SUM((E27/A11))</f>
        <v>631.83952999999985</v>
      </c>
      <c r="K27" s="184"/>
    </row>
    <row r="28" spans="1:18">
      <c r="B28" s="119"/>
      <c r="D28" s="115">
        <f>D27/D47</f>
        <v>5.639008127094626E-2</v>
      </c>
      <c r="E28" s="156"/>
      <c r="F28" s="120"/>
      <c r="G28" s="158"/>
      <c r="H28" s="386"/>
      <c r="I28" s="386">
        <f>SUM(F27*0.25)</f>
        <v>0</v>
      </c>
      <c r="J28" s="388">
        <f>(F27*0.25/(SUM(A6:A7)*A7))</f>
        <v>0</v>
      </c>
      <c r="K28" s="140"/>
    </row>
    <row r="29" spans="1:18" ht="14">
      <c r="B29" s="141" t="s">
        <v>130</v>
      </c>
      <c r="C29" s="162" t="s">
        <v>210</v>
      </c>
      <c r="F29" s="170"/>
      <c r="G29" s="156"/>
      <c r="H29" s="137"/>
    </row>
    <row r="30" spans="1:18" ht="14">
      <c r="B30" s="119" t="s">
        <v>211</v>
      </c>
      <c r="C30" s="162">
        <f>IF(SickDaysFCC&gt;0,(SickDaysFCC*(C18/2080)*10),0)</f>
        <v>1500</v>
      </c>
      <c r="D30" s="184">
        <f>SUM(E30:F30)</f>
        <v>3017.3076923076924</v>
      </c>
      <c r="E30" s="184">
        <f>SUM(A16:A17,A19:A19)*C30</f>
        <v>3017.3076923076924</v>
      </c>
      <c r="F30" s="170">
        <f>A$18*C30</f>
        <v>0</v>
      </c>
      <c r="G30" s="156"/>
      <c r="H30" s="137"/>
    </row>
    <row r="31" spans="1:18" ht="14">
      <c r="B31" s="119" t="s">
        <v>212</v>
      </c>
      <c r="C31" s="162">
        <f>IF(PaidLeaveFCC&gt;0,(PaidLeaveFCC*(C17/2080)*10),0)</f>
        <v>1500</v>
      </c>
      <c r="D31" s="383">
        <f>SUM(E31:F31)</f>
        <v>3017.3076923076924</v>
      </c>
      <c r="E31" s="162">
        <f>SUM(A16:A17,A19:A19)*C31</f>
        <v>3017.3076923076924</v>
      </c>
      <c r="F31" s="170">
        <f>A$18*C31</f>
        <v>0</v>
      </c>
      <c r="G31" s="156"/>
      <c r="H31" s="137"/>
    </row>
    <row r="32" spans="1:18" ht="14">
      <c r="B32" s="163" t="s">
        <v>44</v>
      </c>
      <c r="C32" s="156">
        <f>IF(HealthInsFCC="Yes",H32, "0")</f>
        <v>5864</v>
      </c>
      <c r="D32" s="383">
        <f>SUM(E32:F32)</f>
        <v>11728</v>
      </c>
      <c r="E32" s="156">
        <f>A20*C32</f>
        <v>11728</v>
      </c>
      <c r="F32" s="288">
        <f>A$18*C32</f>
        <v>0</v>
      </c>
      <c r="G32" s="156"/>
      <c r="H32" s="187">
        <f>SUM(Addl_benefits_per_staff*M14,Addl_benefits_per_staff)</f>
        <v>5864</v>
      </c>
    </row>
    <row r="33" spans="2:11">
      <c r="B33" s="117" t="s">
        <v>192</v>
      </c>
      <c r="C33" s="164"/>
      <c r="D33" s="142">
        <f>SUM(E33:F33)</f>
        <v>17762.615384615383</v>
      </c>
      <c r="E33" s="142">
        <f>SUM(E30:E32)</f>
        <v>17762.615384615383</v>
      </c>
      <c r="F33" s="142">
        <f>SUM(F30:F32)</f>
        <v>0</v>
      </c>
      <c r="G33" s="142"/>
      <c r="H33" s="137"/>
      <c r="I33" s="364"/>
      <c r="J33" s="184"/>
      <c r="K33" s="184"/>
    </row>
    <row r="34" spans="2:11">
      <c r="B34" s="163"/>
      <c r="C34" s="164"/>
      <c r="D34" s="156"/>
      <c r="E34" s="156"/>
      <c r="F34" s="159"/>
      <c r="G34" s="165"/>
      <c r="H34" s="140"/>
      <c r="I34" s="140"/>
    </row>
    <row r="35" spans="2:11">
      <c r="B35" s="117" t="s">
        <v>213</v>
      </c>
      <c r="C35" s="120"/>
      <c r="D35" s="142">
        <f>SUM(E35:F35)</f>
        <v>100044.92974461537</v>
      </c>
      <c r="E35" s="142">
        <f>E16+E17+E27+E33+E19</f>
        <v>100044.92974461537</v>
      </c>
      <c r="F35" s="142">
        <f>F18+F27+F33+F34</f>
        <v>0</v>
      </c>
      <c r="G35" s="142"/>
    </row>
    <row r="36" spans="2:11">
      <c r="B36" s="119"/>
      <c r="D36" s="170"/>
      <c r="E36" s="156"/>
    </row>
    <row r="37" spans="2:11" ht="35" thickBot="1">
      <c r="B37" s="166" t="s">
        <v>214</v>
      </c>
      <c r="C37" s="167"/>
      <c r="D37" s="148" t="s">
        <v>93</v>
      </c>
      <c r="E37" s="336"/>
      <c r="F37" s="336"/>
      <c r="G37" s="148"/>
    </row>
    <row r="38" spans="2:11" ht="14">
      <c r="B38" s="119" t="s">
        <v>215</v>
      </c>
      <c r="E38" s="156"/>
      <c r="F38" s="438">
        <v>0</v>
      </c>
      <c r="G38" s="115" t="s">
        <v>430</v>
      </c>
    </row>
    <row r="39" spans="2:11" ht="14">
      <c r="B39" s="119" t="s">
        <v>216</v>
      </c>
      <c r="D39" s="156">
        <f>SUM((QualityHomeProfile!F38*Nonpersonnel!K38),Nonpersonnel!K38)*A11</f>
        <v>7723.1470399999998</v>
      </c>
      <c r="E39" s="137"/>
      <c r="F39" s="137"/>
      <c r="G39" s="137"/>
      <c r="I39" s="137"/>
    </row>
    <row r="40" spans="2:11" ht="14">
      <c r="B40" s="119" t="s">
        <v>217</v>
      </c>
      <c r="D40" s="156">
        <f>SUM((QualityHomeProfile!F38*Nonpersonnel!K40),Nonpersonnel!K40)*A11</f>
        <v>14385.844692799999</v>
      </c>
      <c r="E40" s="137"/>
      <c r="F40" s="137"/>
      <c r="G40" s="137"/>
      <c r="I40" s="184"/>
    </row>
    <row r="41" spans="2:11" ht="14">
      <c r="B41" s="119" t="s">
        <v>218</v>
      </c>
      <c r="D41" s="156">
        <f>IF('VariablesINPUT-FCC'!F2="COVID",(Nonpersonnel!J48+Nonpersonnel!J49),0)*12</f>
        <v>0</v>
      </c>
      <c r="E41" s="137"/>
      <c r="F41" s="137"/>
      <c r="I41" s="156"/>
    </row>
    <row r="42" spans="2:11" ht="14">
      <c r="B42" s="296" t="s">
        <v>137</v>
      </c>
      <c r="C42" s="168"/>
      <c r="D42" s="156">
        <f>SUM((QualityHomeProfile!F38*Nonpersonnel!M39),Nonpersonnel!M39)</f>
        <v>5900.9250000000002</v>
      </c>
      <c r="E42" s="137"/>
      <c r="F42" s="137"/>
      <c r="G42" s="137"/>
      <c r="I42" s="156"/>
    </row>
    <row r="43" spans="2:11">
      <c r="B43" s="119"/>
      <c r="C43" s="117" t="s">
        <v>219</v>
      </c>
      <c r="D43" s="169">
        <f>SUM(D39:D42)</f>
        <v>28009.9167328</v>
      </c>
      <c r="E43" s="169"/>
    </row>
    <row r="44" spans="2:11" ht="14">
      <c r="B44" s="119" t="s">
        <v>143</v>
      </c>
      <c r="C44" s="289">
        <v>0.05</v>
      </c>
      <c r="D44" s="288">
        <f>SUM(D43,E35)*C44</f>
        <v>6402.7423238707688</v>
      </c>
      <c r="E44" s="137"/>
      <c r="F44" s="137"/>
      <c r="H44" s="137"/>
    </row>
    <row r="45" spans="2:11">
      <c r="B45" s="119"/>
      <c r="C45" s="347" t="s">
        <v>220</v>
      </c>
      <c r="D45" s="290">
        <f>SUM(D43:D44)</f>
        <v>34412.659056670767</v>
      </c>
      <c r="E45" s="169"/>
      <c r="F45" s="401">
        <f>D43/D47</f>
        <v>0.20831785682395099</v>
      </c>
      <c r="G45" s="118"/>
      <c r="H45" s="349"/>
    </row>
    <row r="46" spans="2:11">
      <c r="B46" s="119"/>
      <c r="C46" s="337"/>
      <c r="D46" s="348">
        <f>D45/A11</f>
        <v>2867.7215880558974</v>
      </c>
      <c r="E46" s="349"/>
      <c r="F46" s="402"/>
      <c r="G46" s="349"/>
      <c r="H46" s="349"/>
    </row>
    <row r="47" spans="2:11">
      <c r="B47" s="154"/>
      <c r="C47" s="404" t="s">
        <v>221</v>
      </c>
      <c r="D47" s="290">
        <f>D35+D45</f>
        <v>134457.58880128613</v>
      </c>
      <c r="E47" s="169"/>
      <c r="F47" s="347"/>
      <c r="H47" s="384"/>
      <c r="I47" s="137"/>
    </row>
    <row r="48" spans="2:11" ht="14">
      <c r="B48" s="119" t="s">
        <v>13</v>
      </c>
      <c r="C48" s="289">
        <v>0.08</v>
      </c>
      <c r="D48" s="288">
        <f>IF('VariablesINPUT-FCC'!C15='VariablesINPUT-FCC'!F15,C48*D58,0)</f>
        <v>8960.3680000000004</v>
      </c>
      <c r="E48" s="137"/>
      <c r="F48" s="140"/>
    </row>
    <row r="49" spans="1:16">
      <c r="B49" s="623" t="s">
        <v>222</v>
      </c>
      <c r="C49" s="623"/>
      <c r="D49" s="142">
        <f>SUM(D47:D48)</f>
        <v>143417.95680128611</v>
      </c>
      <c r="E49" s="158"/>
      <c r="F49" s="403">
        <f>D35/D47</f>
        <v>0.74406309555700145</v>
      </c>
    </row>
    <row r="50" spans="1:16">
      <c r="B50" s="119"/>
      <c r="C50" s="118" t="s">
        <v>223</v>
      </c>
      <c r="D50" s="349">
        <f>D49/A11</f>
        <v>11951.496400107177</v>
      </c>
      <c r="E50" s="350"/>
      <c r="F50" s="349"/>
      <c r="G50" s="349"/>
      <c r="H50" s="351"/>
      <c r="I50" s="137"/>
    </row>
    <row r="51" spans="1:16">
      <c r="A51" s="115" t="s">
        <v>148</v>
      </c>
      <c r="B51" s="170"/>
      <c r="C51" s="137"/>
      <c r="H51" s="156"/>
      <c r="M51"/>
      <c r="N51"/>
      <c r="O51"/>
      <c r="P51"/>
    </row>
    <row r="52" spans="1:16" customFormat="1" ht="14">
      <c r="A52" s="248">
        <f>SUM(A55:A56)</f>
        <v>12</v>
      </c>
      <c r="B52" s="373" t="s">
        <v>149</v>
      </c>
      <c r="C52" s="374" t="s">
        <v>150</v>
      </c>
      <c r="D52" s="372" t="s">
        <v>150</v>
      </c>
      <c r="E52" s="372" t="s">
        <v>151</v>
      </c>
      <c r="F52" s="371"/>
      <c r="G52" s="371"/>
      <c r="H52" s="371"/>
      <c r="I52" s="371"/>
      <c r="J52" s="29"/>
    </row>
    <row r="53" spans="1:16" customFormat="1">
      <c r="A53" s="77"/>
      <c r="B53" s="247" t="s">
        <v>56</v>
      </c>
      <c r="D53" s="25"/>
      <c r="E53" s="29"/>
      <c r="I53" s="11"/>
      <c r="J53" s="29"/>
    </row>
    <row r="54" spans="1:16" customFormat="1">
      <c r="A54" s="274">
        <f>'VariablesINPUT-FCC'!D45</f>
        <v>4</v>
      </c>
      <c r="B54" s="77" t="s">
        <v>152</v>
      </c>
      <c r="D54" s="25">
        <f>SUM(('VariablesINPUT-FCC'!C44*'Fed CACFP'!F14),('VariablesINPUT-FCC'!D44*'Fed CACFP'!F15))*52</f>
        <v>11055.199999999999</v>
      </c>
      <c r="E54" s="29"/>
      <c r="F54" s="48" t="s">
        <v>153</v>
      </c>
      <c r="G54" s="48" t="s">
        <v>154</v>
      </c>
      <c r="H54" s="48" t="s">
        <v>155</v>
      </c>
      <c r="I54" s="262" t="s">
        <v>156</v>
      </c>
      <c r="J54" s="48" t="s">
        <v>10</v>
      </c>
    </row>
    <row r="55" spans="1:16" customFormat="1">
      <c r="A55" s="274">
        <f>'VariablesINPUT-FCC'!D44</f>
        <v>8</v>
      </c>
      <c r="B55" s="77" t="s">
        <v>157</v>
      </c>
      <c r="D55" s="25">
        <f>SUM(F55:J55)*12</f>
        <v>59273.399999999994</v>
      </c>
      <c r="E55" s="29"/>
      <c r="F55" s="378">
        <f>IF(AND(C52="Metro",'VariablesINPUT-FCC'!E12="FCC",D1="Licensing/Star 2"),('VariablesINPUT-FCC'!D39*'Tuition Rates'!C6),
IF(AND(C52="Metro",'VariablesINPUT-FCC'!E12="FCC",D1="Star 2+/3"),('VariablesINPUT-FCC'!D39*'Tuition Rates'!C18),
IF(AND(C52="Metro",'VariablesINPUT-FCC'!E12="FCC",D1="Star 4"),('VariablesINPUT-FCC'!D39*'Tuition Rates'!C24),
IF(AND(C52="Metro",'VariablesINPUT-FCC'!E12="FCC",D1="Star 5"),('VariablesINPUT-FCC'!D39*'Tuition Rates'!C30),
IF(AND(C52="Rural",'VariablesINPUT-FCC'!E12="FCC",D1="Licensing/Star 2"),('VariablesINPUT-FCC'!D39*'Tuition Rates'!C37),
IF(AND(C52="Rural",'VariablesINPUT-FCC'!E12="FCC",D1="Star 2+/3"),('VariablesINPUT-FCC'!D39*'Tuition Rates'!C49),
IF(AND(C52="Rural",'VariablesINPUT-FCC'!E12="FCC",D1="Star 4"),('VariablesINPUT-FCC'!D39*'Tuition Rates'!C55),
IF(AND(C52="Rural",'VariablesINPUT-FCC'!E12="FCC",D1="Star 5"),('VariablesINPUT-FCC'!D39*'Tuition Rates'!C61),
IF(AND(C52="Metro",'VariablesINPUT-FCC'!E12="Group Home",D1="Licensing/Star 2"),('VariablesINPUT-FCC'!D39*'Tuition Rates'!C5),
IF(AND(C52="Metro",'VariablesINPUT-FCC'!E12="Group Home",D1="Star 2+/3"),('VariablesINPUT-FCC'!D39*'Tuition Rates'!C17),
IF(AND(C52="Metro",'VariablesINPUT-FCC'!E12="Group Home",D1="Star 4"),('VariablesINPUT-FCC'!D39*'Tuition Rates'!C23),
IF(AND(C52="Metro",'VariablesINPUT-FCC'!E12="Group Home",D1="Star 5"),('VariablesINPUT-FCC'!D39*'Tuition Rates'!C29),
IF(AND(C52="Rural",'VariablesINPUT-FCC'!E12="Group Home",D1="Licensing/Star 2"),('VariablesINPUT-FCC'!D39*'Tuition Rates'!C36),
IF(AND(C52="Rural",'VariablesINPUT-FCC'!E12="Group Home",D1="Star 2+/3"),('VariablesINPUT-FCC'!D39*'Tuition Rates'!C48),
IF(AND(C52="Rural",'VariablesINPUT-FCC'!E12="Group Home",D1="Star 4"),('VariablesINPUT-FCC'!D39*'Tuition Rates'!C54),
IF(AND(C52="Rural",'VariablesINPUT-FCC'!E12="Group Home",D1="Star 5"),('VariablesINPUT-FCC'!D39*'Tuition Rates'!C60),0))))))))))))))))</f>
        <v>1869.855</v>
      </c>
      <c r="G55" s="378">
        <f>IF(AND(C52="Metro",'VariablesINPUT-FCC'!$E12="FCC",$D1="Licensing/Star 2"),('VariablesINPUT-FCC'!$D40*'Tuition Rates'!D6),
IF(AND(C52="Metro",'VariablesINPUT-FCC'!$E12="FCC",$D1="Star 2+/3"),('VariablesINPUT-FCC'!$D40*'Tuition Rates'!D18),
IF(AND(C52="Metro",'VariablesINPUT-FCC'!$E12="FCC",$D1="Star 4"),('VariablesINPUT-FCC'!$D40*'Tuition Rates'!D24),
IF(AND(C52="Metro",'VariablesINPUT-FCC'!$E12="FCC",$D1="Star 5"),('VariablesINPUT-FCC'!$D40*'Tuition Rates'!D30),
IF(AND(C52="Rural",'VariablesINPUT-FCC'!$E12="FCC",$D1="Licensing/Star 2"),('VariablesINPUT-FCC'!$D40*'Tuition Rates'!D37),
IF(AND(C52="Rural",'VariablesINPUT-FCC'!$E12="FCC",$D1="Star 2+/3"),('VariablesINPUT-FCC'!$D40*'Tuition Rates'!D49),
IF(AND(C52="Rural",'VariablesINPUT-FCC'!$E12="FCC",$D1="Star 4"),('VariablesINPUT-FCC'!$D40*'Tuition Rates'!D55),
IF(AND(C52="Rural",'VariablesINPUT-FCC'!$E12="FCC",$D1="Star 5"),('VariablesINPUT-FCC'!$D40*'Tuition Rates'!D61),
IF(AND(C52="Metro",'VariablesINPUT-FCC'!$E12="Group Home",$D1="Licensing/Star 2"),('VariablesINPUT-FCC'!$D40*'Tuition Rates'!D5),
IF(AND(C52="Metro",'VariablesINPUT-FCC'!$E12="Group Home",$D1="Star 2+/3"),('VariablesINPUT-FCC'!$D40*'Tuition Rates'!D17),
IF(AND(C52="Metro",'VariablesINPUT-FCC'!$E12="Group Home",$D1="Star 4"),('VariablesINPUT-FCC'!$D40*'Tuition Rates'!D23),
IF(AND(C52="Metro",'VariablesINPUT-FCC'!$E12="Group Home",$D1="Star 5"),('VariablesINPUT-FCC'!$D40*'Tuition Rates'!D29),
IF(AND(C52="Rural",'VariablesINPUT-FCC'!$E12="Group Home",$D1="Licensing/Star 2"),('VariablesINPUT-FCC'!$D40*'Tuition Rates'!D36),
IF(AND(C52="Rural",'VariablesINPUT-FCC'!$E12="Group Home",$D1="Star 2+/3"),('VariablesINPUT-FCC'!$D40*'Tuition Rates'!D48),
IF(AND(C52="Rural",'VariablesINPUT-FCC'!$E12="Group Home",$D1="Star 4"),('VariablesINPUT-FCC'!$D40*'Tuition Rates'!D54),
IF(AND(C52="Rural",'VariablesINPUT-FCC'!$E12="Group Home",$D1="Star 5"),('VariablesINPUT-FCC'!$D40*'Tuition Rates'!D60),0))))))))))))))))</f>
        <v>623.28499999999997</v>
      </c>
      <c r="H55" s="378">
        <f>IF(AND(C52="Metro",'VariablesINPUT-FCC'!$E12="FCC",$D1="Licensing/Star 2"),('VariablesINPUT-FCC'!$D41*'Tuition Rates'!E6),
IF(AND(C52="Metro",'VariablesINPUT-FCC'!$E12="FCC",$D1="Star 2+/3"),('VariablesINPUT-FCC'!$D41*'Tuition Rates'!E18),
IF(AND(C52="Metro",'VariablesINPUT-FCC'!$E12="FCC",$D1="Star 4"),('VariablesINPUT-FCC'!$D41*'Tuition Rates'!E24),
IF(AND(C52="Metro",'VariablesINPUT-FCC'!$E12="FCC",$D1="Star 5"),('VariablesINPUT-FCC'!$D41*'Tuition Rates'!E30),
IF(AND(C52="Rural",'VariablesINPUT-FCC'!$E12="FCC",$D1="Licensing/Star 2"),('VariablesINPUT-FCC'!$D41*'Tuition Rates'!E37),
IF(AND(C52="Rural",'VariablesINPUT-FCC'!$E12="FCC",$D1="Star 2+/3"),('VariablesINPUT-FCC'!$D41*'Tuition Rates'!E49),
IF(AND(C52="Rural",'VariablesINPUT-FCC'!$E12="FCC",$D1="Star 4"),('VariablesINPUT-FCC'!$D41*'Tuition Rates'!E55),
IF(AND(C52="Rural",'VariablesINPUT-FCC'!$E12="FCC",$D1="Star 5"),('VariablesINPUT-FCC'!$D41*'Tuition Rates'!E61),
IF(AND(C52="Metro",'VariablesINPUT-FCC'!$E12="Group Home",$D1="Licensing/Star 2"),('VariablesINPUT-FCC'!$D41*'Tuition Rates'!E5),
IF(AND(C52="Metro",'VariablesINPUT-FCC'!$E12="Group Home",$D1="Star 2+/3"),('VariablesINPUT-FCC'!$D41*'Tuition Rates'!E17),
IF(AND(C52="Metro",'VariablesINPUT-FCC'!$E12="Group Home",$D1="Star 4"),('VariablesINPUT-FCC'!$D41*'Tuition Rates'!E23),
IF(AND(C52="Metro",'VariablesINPUT-FCC'!$E12="Group Home",$D1="Star 5"),('VariablesINPUT-FCC'!$D41*'Tuition Rates'!E29),
IF(AND(C52="Rural",'VariablesINPUT-FCC'!$E12="Group Home",$D1="Licensing/Star 2"),('VariablesINPUT-FCC'!$D41*'Tuition Rates'!E36),
IF(AND(C52="Rural",'VariablesINPUT-FCC'!$E12="Group Home",$D1="Star 2+/3"),('VariablesINPUT-FCC'!$D41*'Tuition Rates'!E48),
IF(AND(C52="Rural",'VariablesINPUT-FCC'!$E12="Group Home",$D1="Star 4"),('VariablesINPUT-FCC'!$D41*'Tuition Rates'!E54),
IF(AND(C52="Rural",'VariablesINPUT-FCC'!$E12="Group Home",$D1="Star 5"),('VariablesINPUT-FCC'!$D41*'Tuition Rates'!E60),0))))))))))))))))</f>
        <v>623.28499999999997</v>
      </c>
      <c r="I55" s="378">
        <f>IF(AND(C52="Metro",'VariablesINPUT-FCC'!$E12="FCC",$D1="Licensing/Star 2"),('VariablesINPUT-FCC'!$D42*'Tuition Rates'!F6),
IF(AND(C52="Metro",'VariablesINPUT-FCC'!$E12="FCC",$D1="Star 2+/3"),('VariablesINPUT-FCC'!$D42*'Tuition Rates'!F18),
IF(AND(C52="Metro",'VariablesINPUT-FCC'!$E12="FCC",$D1="Star 4"),('VariablesINPUT-FCC'!$D42*'Tuition Rates'!F24),
IF(AND(C52="Metro",'VariablesINPUT-FCC'!$E12="FCC",$D1="Star 5"),('VariablesINPUT-FCC'!$D42*'Tuition Rates'!F30),
IF(AND(C52="Rural",'VariablesINPUT-FCC'!$E12="FCC",$D1="Licensing/Star 2"),('VariablesINPUT-FCC'!$D42*'Tuition Rates'!F37),
IF(AND(C52="Rural",'VariablesINPUT-FCC'!$E12="FCC",$D1="Star 2+/3"),('VariablesINPUT-FCC'!$D42*'Tuition Rates'!F49),
IF(AND(C52="Rural",'VariablesINPUT-FCC'!$E12="FCC",$D1="Star 4"),('VariablesINPUT-FCC'!$D42*'Tuition Rates'!F55),
IF(AND(C52="Rural",'VariablesINPUT-FCC'!$E12="FCC",$D1="Star 5"),('VariablesINPUT-FCC'!$D42*'Tuition Rates'!F61),
IF(AND(C52="Metro",'VariablesINPUT-FCC'!$E12="Group Home",$D1="Licensing/Star 2"),('VariablesINPUT-FCC'!$D42*'Tuition Rates'!F5),
IF(AND(C52="Metro",'VariablesINPUT-FCC'!$E12="Group Home",$D1="Star 2+/3"),('VariablesINPUT-FCC'!$D42*'Tuition Rates'!F17),
IF(AND(C52="Metro",'VariablesINPUT-FCC'!$E12="Group Home",$D1="Star 4"),('VariablesINPUT-FCC'!$D42*'Tuition Rates'!F23),
IF(AND(C52="Metro",'VariablesINPUT-FCC'!$E12="Group Home",$D1="Star 5"),('VariablesINPUT-FCC'!$D42*'Tuition Rates'!F29),
IF(AND(C52="Rural",'VariablesINPUT-FCC'!$E12="Group Home",$D1="Licensing/Star 2"),('VariablesINPUT-FCC'!$D42*'Tuition Rates'!F36),
IF(AND(C52="Rural",'VariablesINPUT-FCC'!$E12="Group Home",$D1="Star 2+/3"),('VariablesINPUT-FCC'!$D42*'Tuition Rates'!F48),
IF(AND(C52="Rural",'VariablesINPUT-FCC'!$E12="Group Home",$D1="Star 4"),('VariablesINPUT-FCC'!$D42*'Tuition Rates'!F54),
IF(AND(C52="Rural",'VariablesINPUT-FCC'!$E12="Group Home",$D1="Star 5"),('VariablesINPUT-FCC'!$D42*'Tuition Rates'!F60),0))))))))))))))))</f>
        <v>623.28499999999997</v>
      </c>
      <c r="J55" s="378">
        <f>IF(AND(C52="Metro",'VariablesINPUT-FCC'!$E12="FCC",$D1="Licensing/Star 2"),('VariablesINPUT-FCC'!$D43*'Tuition Rates'!G6),
IF(AND(C52="Metro",'VariablesINPUT-FCC'!$E12="FCC",$D1="Star 2+/3"),('VariablesINPUT-FCC'!$D43*'Tuition Rates'!G18),
IF(AND(C52="Metro",'VariablesINPUT-FCC'!$E12="FCC",$D1="Star 4"),('VariablesINPUT-FCC'!$D43*'Tuition Rates'!G24),
IF(AND(C52="Metro",'VariablesINPUT-FCC'!$E12="FCC",$D1="Star 5"),('VariablesINPUT-FCC'!$D43*'Tuition Rates'!G30),
IF(AND(C52="Rural",'VariablesINPUT-FCC'!$E12="FCC",$D1="Licensing/Star 2"),('VariablesINPUT-FCC'!$D43*'Tuition Rates'!G37),
IF(AND(C52="Rural",'VariablesINPUT-FCC'!$E12="FCC",$D1="Star 2+/3"),('VariablesINPUT-FCC'!$D43*'Tuition Rates'!G49),
IF(AND(C52="Rural",'VariablesINPUT-FCC'!$E12="FCC",$D1="Star 4"),('VariablesINPUT-FCC'!$D43*'Tuition Rates'!G55),
IF(AND(C52="Rural",'VariablesINPUT-FCC'!$E12="FCC",$D1="Star 5"),('VariablesINPUT-FCC'!$D43*'Tuition Rates'!G61),
IF(AND(C52="Metro",'VariablesINPUT-FCC'!$E12="Group Home",$D1="Licensing/Star 2"),('VariablesINPUT-FCC'!$D43*'Tuition Rates'!G5),
IF(AND(C52="Metro",'VariablesINPUT-FCC'!$E12="Group Home",$D1="Star 2+/3"),('VariablesINPUT-FCC'!$D43*'Tuition Rates'!G17),
IF(AND(C52="Metro",'VariablesINPUT-FCC'!$E12="Group Home",$D1="Star 4"),('VariablesINPUT-FCC'!$D43*'Tuition Rates'!G23),
IF(AND(C52="Metro",'VariablesINPUT-FCC'!$E12="Group Home",$D1="Star 5"),('VariablesINPUT-FCC'!$D43*'Tuition Rates'!G29),
IF(AND(C52="Rural",'VariablesINPUT-FCC'!$E12="Group Home",$D1="Licensing/Star 2"),('VariablesINPUT-FCC'!$D43*'Tuition Rates'!G36),
IF(AND(C52="Rural",'VariablesINPUT-FCC'!$E12="Group Home",$D1="Star 2+/3"),('VariablesINPUT-FCC'!$D43*'Tuition Rates'!G48),
IF(AND(C52="Rural",'VariablesINPUT-FCC'!$E12="Group Home",$D1="Star 4"),('VariablesINPUT-FCC'!$D43*'Tuition Rates'!G54),
IF(AND(C52="Rural",'VariablesINPUT-FCC'!$E12="Group Home",$D1="Star 5"),('VariablesINPUT-FCC'!$D43*'Tuition Rates'!G60),"WRONG"))))))))))))))))</f>
        <v>1199.74</v>
      </c>
    </row>
    <row r="56" spans="1:16" customFormat="1">
      <c r="A56" s="274">
        <f>'VariablesINPUT-FCC'!C44</f>
        <v>4</v>
      </c>
      <c r="B56" s="77" t="s">
        <v>58</v>
      </c>
      <c r="D56" s="25">
        <f>SUM(F56:J56)*12</f>
        <v>41676</v>
      </c>
      <c r="E56" s="29"/>
      <c r="F56" s="377">
        <f>IF(AND('VariablesINPUT-FCC'!$E12="FCC",'VariablesINPUT-FCC'!$F2="Licensing/Star 2"),('VariablesINPUT-FCC'!C$39*'Subsidy rates'!$B11),
IF(AND('VariablesINPUT-FCC'!$E12="FCC",'VariablesINPUT-FCC'!$F2="Star 2+/3"),('VariablesINPUT-FCC'!C$39*'Subsidy rates'!$C11),
IF(AND('VariablesINPUT-FCC'!$E12="FCC",'VariablesINPUT-FCC'!$F2="Star 4"),('VariablesINPUT-FCC'!C$39*'Subsidy rates'!$D11),
IF(AND('VariablesINPUT-FCC'!$E12="FCC",'VariablesINPUT-FCC'!$F2="Star 5"),('VariablesINPUT-FCC'!C$39*'Subsidy rates'!$E11),
IF(AND('VariablesINPUT-FCC'!$E12="Group Home",'VariablesINPUT-FCC'!$F2="Licensing/Star 2"),('VariablesINPUT-FCC'!C$39*'Subsidy rates'!$B20),
IF(AND('VariablesINPUT-FCC'!$E12="Group Home",'VariablesINPUT-FCC'!$F2="Star 2+/3"),('VariablesINPUT-FCC'!C$39*'Subsidy rates'!$C20),
IF(AND('VariablesINPUT-FCC'!$E12="Group Home",'VariablesINPUT-FCC'!$F2="Star 4"),('VariablesINPUT-FCC'!C$39*'Subsidy rates'!$D20),
IF(AND('VariablesINPUT-FCC'!$E12="Group Home",'VariablesINPUT-FCC'!$F2="Star 5"),('VariablesINPUT-FCC'!C$39*'Subsidy rates'!$E20),
0))))))))</f>
        <v>855</v>
      </c>
      <c r="G56" s="377">
        <f>IF(AND('VariablesINPUT-FCC'!$E12="FCC",'VariablesINPUT-FCC'!$F2="Licensing/Star 2"),('VariablesINPUT-FCC'!$C$39*'Subsidy rates'!$B12),
IF(AND('VariablesINPUT-FCC'!$E12="FCC",'VariablesINPUT-FCC'!$F2="Star 2+/3"),('VariablesINPUT-FCC'!$C$39*'Subsidy rates'!$C12),
IF(AND('VariablesINPUT-FCC'!$E12="FCC",'VariablesINPUT-FCC'!$F2="Star 4"),('VariablesINPUT-FCC'!$C$39*'Subsidy rates'!$D12),
IF(AND('VariablesINPUT-FCC'!$E12="FCC",'VariablesINPUT-FCC'!$F2="Star 5"),('VariablesINPUT-FCC'!$C$39*'Subsidy rates'!$E12),
IF(AND('VariablesINPUT-FCC'!$E12="Group Home",'VariablesINPUT-FCC'!$F2="Licensing/Star 2"),('VariablesINPUT-FCC'!$C$39*'Subsidy rates'!$B21),
IF(AND('VariablesINPUT-FCC'!$E12="Group Home",'VariablesINPUT-FCC'!$F2="Star 2+/3"),('VariablesINPUT-FCC'!$C$39*'Subsidy rates'!$C21),
IF(AND('VariablesINPUT-FCC'!$E12="Group Home",'VariablesINPUT-FCC'!$F2="Star 4"),('VariablesINPUT-FCC'!$C$39*'Subsidy rates'!$D21),
IF(AND('VariablesINPUT-FCC'!$E12="Group Home",'VariablesINPUT-FCC'!$F2="Star 5"),('VariablesINPUT-FCC'!$C$39*'Subsidy rates'!$E21),
0))))))))</f>
        <v>830</v>
      </c>
      <c r="H56" s="377">
        <f>IF(AND('VariablesINPUT-FCC'!$E12="FCC",'VariablesINPUT-FCC'!$F2="Licensing/Star 2"),('VariablesINPUT-FCC'!$C$40*'Subsidy rates'!$B13),
IF(AND('VariablesINPUT-FCC'!$E12="FCC",'VariablesINPUT-FCC'!$F2="Star 2+/3"),('VariablesINPUT-FCC'!$C$40*'Subsidy rates'!$C13),
IF(AND('VariablesINPUT-FCC'!$E12="FCC",'VariablesINPUT-FCC'!$F2="Star 4"),('VariablesINPUT-FCC'!$C$40*'Subsidy rates'!$D13),
IF(AND('VariablesINPUT-FCC'!$E12="FCC",'VariablesINPUT-FCC'!$F2="Star 5"),('VariablesINPUT-FCC'!$C$40*'Subsidy rates'!$E13),
IF(AND('VariablesINPUT-FCC'!$E12="Group Home",'VariablesINPUT-FCC'!$F2="Licensing/Star 2"),('VariablesINPUT-FCC'!$C$40*'Subsidy rates'!$B22),
IF(AND('VariablesINPUT-FCC'!$E12="Group Home",'VariablesINPUT-FCC'!$F2="Star 2+/3"),('VariablesINPUT-FCC'!$C$40*'Subsidy rates'!$C22),
IF(AND('VariablesINPUT-FCC'!$E12="Group Home",'VariablesINPUT-FCC'!$F2="Star 4"),('VariablesINPUT-FCC'!$C$40*'Subsidy rates'!$D22),
IF(AND('VariablesINPUT-FCC'!$E12="Group Home",'VariablesINPUT-FCC'!$F2="Star 5"),('VariablesINPUT-FCC'!$C$40*'Subsidy rates'!$E22),
0))))))))</f>
        <v>680</v>
      </c>
      <c r="I56" s="377">
        <f>IF(AND('VariablesINPUT-FCC'!$E12="FCC",'VariablesINPUT-FCC'!$F2="Licensing/Star 2"),('VariablesINPUT-FCC'!$C$40*'Subsidy rates'!$B14),
IF(AND('VariablesINPUT-FCC'!$E12="FCC",'VariablesINPUT-FCC'!$F2="Star 2+/3"),('VariablesINPUT-FCC'!$C$40*'Subsidy rates'!$C14),
IF(AND('VariablesINPUT-FCC'!$E12="FCC",'VariablesINPUT-FCC'!$F2="Star 4"),('VariablesINPUT-FCC'!$C$40*'Subsidy rates'!$D14),
IF(AND('VariablesINPUT-FCC'!$E12="FCC",'VariablesINPUT-FCC'!$F2="Star 5"),('VariablesINPUT-FCC'!$C$40*'Subsidy rates'!$E14),
IF(AND('VariablesINPUT-FCC'!$E12="Group Home",'VariablesINPUT-FCC'!$F2="Licensing/Star 2"),('VariablesINPUT-FCC'!$C$40*'Subsidy rates'!$B23),
IF(AND('VariablesINPUT-FCC'!$E12="Group Home",'VariablesINPUT-FCC'!$F2="Star 2+/3"),('VariablesINPUT-FCC'!$C$40*'Subsidy rates'!$C23),
IF(AND('VariablesINPUT-FCC'!$E12="Group Home",'VariablesINPUT-FCC'!$F2="Star 4"),('VariablesINPUT-FCC'!$C$40*'Subsidy rates'!$D23),
IF(AND('VariablesINPUT-FCC'!$E12="Group Home",'VariablesINPUT-FCC'!$F2="Star 5"),('VariablesINPUT-FCC'!$C$40*'Subsidy rates'!$E23),
0))))))))</f>
        <v>680</v>
      </c>
      <c r="J56" s="377">
        <f>IF(AND('VariablesINPUT-FCC'!$E12="FCC",'VariablesINPUT-FCC'!$F2="Licensing/Star 2"),('VariablesINPUT-FCC'!$C$40*'Subsidy rates'!$B15),
IF(AND('VariablesINPUT-FCC'!$E12="FCC",'VariablesINPUT-FCC'!$F2="Star 2+/3"),('VariablesINPUT-FCC'!$C$40*'Subsidy rates'!$C15),
IF(AND('VariablesINPUT-FCC'!$E12="FCC",'VariablesINPUT-FCC'!$F2="Star 4"),('VariablesINPUT-FCC'!$C$40*'Subsidy rates'!$D15),
IF(AND('VariablesINPUT-FCC'!$E12="FCC",'VariablesINPUT-FCC'!$F2="Star 5"),('VariablesINPUT-FCC'!$C$40*'Subsidy rates'!$E15),
IF(AND('VariablesINPUT-FCC'!$E12="Group Home",'VariablesINPUT-FCC'!$F2="Licensing/Star 2"),('VariablesINPUT-FCC'!$C$40*'Subsidy rates'!$B24),
IF(AND('VariablesINPUT-FCC'!$E12="Group Home",'VariablesINPUT-FCC'!$F2="Star 2+/3"),('VariablesINPUT-FCC'!$C$40*'Subsidy rates'!$C24),
IF(AND('VariablesINPUT-FCC'!$E12="Group Home",'VariablesINPUT-FCC'!$F2="Star 4"),('VariablesINPUT-FCC'!$C$40*'Subsidy rates'!$D24),
IF(AND('VariablesINPUT-FCC'!$E12="Group Home",'VariablesINPUT-FCC'!$F2="Star 5"),('VariablesINPUT-FCC'!$C$40*'Subsidy rates'!$E24),
0))))))))</f>
        <v>428</v>
      </c>
      <c r="K56" s="5"/>
    </row>
    <row r="57" spans="1:16" customFormat="1">
      <c r="A57" s="77"/>
      <c r="B57" s="77" t="s">
        <v>158</v>
      </c>
      <c r="D57" s="273"/>
      <c r="E57" s="29"/>
    </row>
    <row r="58" spans="1:16" customFormat="1">
      <c r="A58" s="77"/>
      <c r="B58" s="272" t="s">
        <v>159</v>
      </c>
      <c r="D58" s="65">
        <f>SUM(D54:D57)</f>
        <v>112004.59999999999</v>
      </c>
      <c r="E58" s="30" t="s">
        <v>160</v>
      </c>
    </row>
    <row r="59" spans="1:16" customFormat="1">
      <c r="K59" s="2"/>
    </row>
    <row r="60" spans="1:16" customFormat="1">
      <c r="B60" s="277" t="s">
        <v>161</v>
      </c>
      <c r="E60" s="1"/>
    </row>
    <row r="61" spans="1:16" customFormat="1">
      <c r="B61" s="34" t="s">
        <v>162</v>
      </c>
      <c r="C61" s="275">
        <f>1-EnrollEffic</f>
        <v>0.15000000000000002</v>
      </c>
      <c r="D61" s="31">
        <f>C61*D58</f>
        <v>16800.690000000002</v>
      </c>
    </row>
    <row r="62" spans="1:16" customFormat="1">
      <c r="B62" s="34" t="s">
        <v>163</v>
      </c>
      <c r="C62" s="275">
        <f>BadDebt</f>
        <v>0.03</v>
      </c>
      <c r="D62" s="276">
        <f>C62*D58</f>
        <v>3360.1379999999995</v>
      </c>
      <c r="E62" s="25">
        <f>SUM(D61:D62)</f>
        <v>20160.828000000001</v>
      </c>
      <c r="F62" s="137">
        <f>SUM(E62-(E62*2))</f>
        <v>-20160.828000000001</v>
      </c>
    </row>
    <row r="63" spans="1:16" customFormat="1">
      <c r="D63" s="65">
        <f>D58-D61-D62</f>
        <v>91843.771999999983</v>
      </c>
      <c r="E63" s="30" t="s">
        <v>224</v>
      </c>
      <c r="F63" s="115"/>
    </row>
    <row r="64" spans="1:16" customFormat="1">
      <c r="B64" s="77" t="s">
        <v>164</v>
      </c>
      <c r="D64" s="286">
        <f>IF('VariablesINPUT-FCC'!C15='VariablesINPUT-FCC'!F15,IF('VariablesINPUT-FCC'!C16='VariablesINPUT-FCC'!E16,D48,IF('VariablesINPUT-FCC'!C16='VariablesINPUT-FCC'!F16,(D55*C48),0)),0)</f>
        <v>0</v>
      </c>
      <c r="E64" s="30"/>
    </row>
    <row r="65" spans="1:16" customFormat="1">
      <c r="B65" s="9" t="s">
        <v>165</v>
      </c>
      <c r="D65" s="65">
        <f>SUM(D63,D64)</f>
        <v>91843.771999999983</v>
      </c>
      <c r="E65" s="30"/>
      <c r="M65" s="115"/>
      <c r="N65" s="115"/>
      <c r="O65" s="115"/>
      <c r="P65" s="115"/>
    </row>
    <row r="66" spans="1:16">
      <c r="A66" s="380"/>
      <c r="B66" s="278" t="s">
        <v>166</v>
      </c>
      <c r="C66" s="278"/>
      <c r="D66" s="279">
        <f>D65-D49</f>
        <v>-51574.18480128613</v>
      </c>
      <c r="E66" s="280">
        <f>D66/D49</f>
        <v>-0.35960758298031781</v>
      </c>
      <c r="F66" s="278" t="s">
        <v>133</v>
      </c>
    </row>
    <row r="67" spans="1:16">
      <c r="A67" s="380"/>
    </row>
    <row r="68" spans="1:16">
      <c r="A68" s="380"/>
    </row>
    <row r="69" spans="1:16">
      <c r="A69" s="380"/>
    </row>
  </sheetData>
  <mergeCells count="1">
    <mergeCell ref="B49:C49"/>
  </mergeCells>
  <conditionalFormatting sqref="E11">
    <cfRule type="containsText" dxfId="1" priority="1" operator="containsText" text="Incorrect">
      <formula>NOT(ISERROR(SEARCH("Incorrect",E11)))</formula>
    </cfRule>
  </conditionalFormatting>
  <conditionalFormatting sqref="E50">
    <cfRule type="cellIs" dxfId="0" priority="3" operator="lessThan">
      <formula>0</formula>
    </cfRule>
  </conditionalFormatting>
  <dataValidations count="1">
    <dataValidation type="list" allowBlank="1" showInputMessage="1" showErrorMessage="1" sqref="C52" xr:uid="{4BB05D2D-01FD-814F-94BF-0FB4FE9FBAAE}">
      <formula1>$D$52:$E$52</formula1>
    </dataValidation>
  </dataValidation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F32"/>
  <sheetViews>
    <sheetView zoomScale="140" workbookViewId="0">
      <selection activeCell="F64" sqref="F64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6" s="114" customFormat="1">
      <c r="A1" s="113" t="s">
        <v>225</v>
      </c>
    </row>
    <row r="2" spans="1:6">
      <c r="B2" s="29" t="s">
        <v>2</v>
      </c>
      <c r="C2" s="29" t="s">
        <v>1</v>
      </c>
      <c r="D2" s="29" t="s">
        <v>226</v>
      </c>
      <c r="E2" s="2" t="s">
        <v>227</v>
      </c>
      <c r="F2" s="29"/>
    </row>
    <row r="3" spans="1:6">
      <c r="A3" s="29" t="s">
        <v>228</v>
      </c>
      <c r="B3">
        <v>6</v>
      </c>
      <c r="C3">
        <v>6</v>
      </c>
      <c r="D3">
        <v>5</v>
      </c>
      <c r="E3" s="2">
        <v>4</v>
      </c>
    </row>
    <row r="4" spans="1:6">
      <c r="A4" s="29" t="s">
        <v>229</v>
      </c>
      <c r="B4">
        <v>10</v>
      </c>
      <c r="C4">
        <v>10</v>
      </c>
      <c r="D4">
        <v>8</v>
      </c>
      <c r="E4" s="2">
        <v>6</v>
      </c>
    </row>
    <row r="5" spans="1:6">
      <c r="A5" s="29" t="s">
        <v>195</v>
      </c>
      <c r="B5">
        <v>12</v>
      </c>
      <c r="C5">
        <v>12</v>
      </c>
      <c r="D5">
        <v>10</v>
      </c>
      <c r="E5" s="2">
        <v>9</v>
      </c>
    </row>
    <row r="6" spans="1:6">
      <c r="A6" s="29" t="s">
        <v>196</v>
      </c>
      <c r="B6">
        <v>12</v>
      </c>
      <c r="C6">
        <v>12</v>
      </c>
      <c r="D6">
        <v>10</v>
      </c>
      <c r="E6" s="2">
        <v>10</v>
      </c>
    </row>
    <row r="7" spans="1:6">
      <c r="A7" s="29" t="s">
        <v>10</v>
      </c>
      <c r="B7">
        <v>15</v>
      </c>
      <c r="C7">
        <v>15</v>
      </c>
      <c r="D7" s="77">
        <v>12</v>
      </c>
      <c r="E7" s="247">
        <v>10</v>
      </c>
    </row>
    <row r="8" spans="1:6">
      <c r="D8" s="77"/>
      <c r="E8" s="247"/>
    </row>
    <row r="9" spans="1:6">
      <c r="A9" s="2" t="s">
        <v>230</v>
      </c>
      <c r="B9" s="29" t="s">
        <v>2</v>
      </c>
      <c r="C9" s="29" t="s">
        <v>1</v>
      </c>
      <c r="D9" s="77" t="s">
        <v>226</v>
      </c>
      <c r="E9" s="247" t="s">
        <v>227</v>
      </c>
    </row>
    <row r="10" spans="1:6">
      <c r="A10" s="29" t="s">
        <v>231</v>
      </c>
      <c r="B10" s="29">
        <v>12</v>
      </c>
      <c r="C10">
        <v>12</v>
      </c>
      <c r="D10" s="77">
        <v>10</v>
      </c>
      <c r="E10" s="247">
        <v>8</v>
      </c>
      <c r="F10" s="29"/>
    </row>
    <row r="11" spans="1:6">
      <c r="A11" s="29" t="s">
        <v>229</v>
      </c>
      <c r="B11" s="29">
        <v>20</v>
      </c>
      <c r="C11">
        <v>20</v>
      </c>
      <c r="D11" s="77">
        <v>16</v>
      </c>
      <c r="E11" s="247">
        <v>12</v>
      </c>
      <c r="F11" s="29"/>
    </row>
    <row r="12" spans="1:6">
      <c r="A12" s="29" t="s">
        <v>195</v>
      </c>
      <c r="B12" s="29">
        <v>24</v>
      </c>
      <c r="C12">
        <v>24</v>
      </c>
      <c r="D12" s="77">
        <v>20</v>
      </c>
      <c r="E12" s="247">
        <v>18</v>
      </c>
      <c r="F12" s="29"/>
    </row>
    <row r="13" spans="1:6">
      <c r="A13" s="29" t="s">
        <v>196</v>
      </c>
      <c r="B13" s="29">
        <v>24</v>
      </c>
      <c r="C13">
        <v>24</v>
      </c>
      <c r="D13" s="77">
        <v>20</v>
      </c>
      <c r="E13" s="247">
        <v>20</v>
      </c>
      <c r="F13" s="29"/>
    </row>
    <row r="14" spans="1:6">
      <c r="A14" s="29" t="s">
        <v>10</v>
      </c>
      <c r="B14" s="29">
        <v>30</v>
      </c>
      <c r="C14">
        <v>25</v>
      </c>
      <c r="D14" s="77">
        <v>24</v>
      </c>
      <c r="E14" s="247">
        <v>20</v>
      </c>
      <c r="F14" s="29"/>
    </row>
    <row r="16" spans="1:6" s="113" customFormat="1">
      <c r="A16" s="113" t="s">
        <v>232</v>
      </c>
    </row>
    <row r="17" spans="1:4" ht="35" customHeight="1">
      <c r="B17" s="204" t="s">
        <v>233</v>
      </c>
      <c r="C17" s="204" t="s">
        <v>234</v>
      </c>
      <c r="D17" s="29" t="s">
        <v>235</v>
      </c>
    </row>
    <row r="18" spans="1:4">
      <c r="A18" s="29" t="s">
        <v>236</v>
      </c>
      <c r="B18">
        <v>6</v>
      </c>
      <c r="C18">
        <v>12</v>
      </c>
      <c r="D18" s="29" t="s">
        <v>237</v>
      </c>
    </row>
    <row r="19" spans="1:4">
      <c r="A19" s="29" t="s">
        <v>432</v>
      </c>
      <c r="B19">
        <v>4</v>
      </c>
      <c r="C19">
        <v>8</v>
      </c>
    </row>
    <row r="20" spans="1:4">
      <c r="A20" s="29" t="s">
        <v>9</v>
      </c>
      <c r="B20">
        <v>2</v>
      </c>
      <c r="C20">
        <v>4</v>
      </c>
      <c r="D20">
        <v>2</v>
      </c>
    </row>
    <row r="26" spans="1:4">
      <c r="C26" s="28"/>
    </row>
    <row r="27" spans="1:4">
      <c r="C27" s="28"/>
    </row>
    <row r="28" spans="1:4">
      <c r="C28" s="28"/>
    </row>
    <row r="29" spans="1:4">
      <c r="C29" s="28"/>
    </row>
    <row r="30" spans="1:4" ht="20" customHeight="1">
      <c r="B30" s="344"/>
    </row>
    <row r="32" spans="1:4" ht="24" customHeight="1">
      <c r="B32" s="3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P93"/>
  <sheetViews>
    <sheetView topLeftCell="A21" zoomScale="132" workbookViewId="0">
      <selection activeCell="F64" sqref="F64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1.1640625" bestFit="1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4" ht="14">
      <c r="A1" s="319"/>
      <c r="B1" s="22" t="s">
        <v>238</v>
      </c>
      <c r="C1" s="308"/>
      <c r="D1" s="308"/>
      <c r="E1" s="308"/>
      <c r="G1" s="308"/>
    </row>
    <row r="2" spans="1:14" s="2" customFormat="1" ht="30" customHeight="1">
      <c r="A2" s="310"/>
      <c r="B2" s="310" t="s">
        <v>30</v>
      </c>
      <c r="C2" s="327">
        <v>1.1000000000000001</v>
      </c>
      <c r="D2" s="327">
        <v>1.2</v>
      </c>
      <c r="E2" s="326" t="s">
        <v>37</v>
      </c>
      <c r="F2" s="325" t="s">
        <v>38</v>
      </c>
      <c r="G2" s="320" t="s">
        <v>239</v>
      </c>
      <c r="I2" s="2" t="s">
        <v>410</v>
      </c>
    </row>
    <row r="3" spans="1:14" ht="14">
      <c r="A3" s="307" t="s">
        <v>241</v>
      </c>
      <c r="B3" s="188">
        <v>50940</v>
      </c>
      <c r="C3" s="323">
        <f>B3*110%</f>
        <v>56034.000000000007</v>
      </c>
      <c r="D3" s="323">
        <f>B3*120%</f>
        <v>61128</v>
      </c>
      <c r="E3" s="189">
        <v>84220</v>
      </c>
      <c r="F3" s="419">
        <f>F6*$H$4</f>
        <v>106019.10542822676</v>
      </c>
      <c r="G3" s="321"/>
      <c r="H3" s="314">
        <f>SUM(B3-B6)/B6</f>
        <v>0.53618817852834744</v>
      </c>
      <c r="I3">
        <v>44965</v>
      </c>
    </row>
    <row r="4" spans="1:14" ht="14">
      <c r="A4" s="307" t="s">
        <v>242</v>
      </c>
      <c r="B4" s="188">
        <v>40752</v>
      </c>
      <c r="C4" s="323">
        <f t="shared" ref="C4:C8" si="0">B4*110%</f>
        <v>44827.200000000004</v>
      </c>
      <c r="D4" s="323">
        <f t="shared" ref="D4:D8" si="1">B4*120%</f>
        <v>48902.400000000001</v>
      </c>
      <c r="E4" s="188">
        <v>67376</v>
      </c>
      <c r="F4" s="419">
        <f>F6*$H$6</f>
        <v>84815.284342581421</v>
      </c>
      <c r="G4" s="321"/>
      <c r="H4" s="315">
        <f>SUM(1,H3)</f>
        <v>1.5361881785283473</v>
      </c>
      <c r="I4">
        <v>33629</v>
      </c>
    </row>
    <row r="5" spans="1:14" ht="15" thickBot="1">
      <c r="A5" s="307" t="s">
        <v>243</v>
      </c>
      <c r="B5" s="188">
        <v>18720</v>
      </c>
      <c r="C5" s="323">
        <f>B5*110%</f>
        <v>20592</v>
      </c>
      <c r="D5" s="323">
        <f t="shared" si="1"/>
        <v>22464</v>
      </c>
      <c r="E5" s="188">
        <v>25630</v>
      </c>
      <c r="F5" s="420">
        <f>F8</f>
        <v>49920</v>
      </c>
      <c r="G5" s="321"/>
      <c r="H5" s="314">
        <f>SUM(B4-B6)/B6</f>
        <v>0.22895054282267793</v>
      </c>
      <c r="I5">
        <v>23407</v>
      </c>
    </row>
    <row r="6" spans="1:14" ht="14">
      <c r="A6" s="310" t="s">
        <v>39</v>
      </c>
      <c r="B6" s="367">
        <v>33160</v>
      </c>
      <c r="C6" s="328">
        <f t="shared" si="0"/>
        <v>36476</v>
      </c>
      <c r="D6" s="328">
        <f>B6*120%</f>
        <v>39792</v>
      </c>
      <c r="E6" s="304">
        <v>52290</v>
      </c>
      <c r="F6" s="421">
        <f>'VariablesINPUT-CTR'!F25*2080</f>
        <v>69014.399999999994</v>
      </c>
      <c r="G6" s="322">
        <f>'VariablesINPUT-FCC'!F25*2080</f>
        <v>0</v>
      </c>
      <c r="H6" s="315">
        <f>SUM(1,H5)</f>
        <v>1.2289505428226779</v>
      </c>
      <c r="I6">
        <v>27445</v>
      </c>
      <c r="J6" s="12"/>
      <c r="L6" s="29"/>
      <c r="M6" s="206"/>
    </row>
    <row r="7" spans="1:14" ht="14">
      <c r="A7" s="307" t="s">
        <v>40</v>
      </c>
      <c r="B7" s="368">
        <v>25168</v>
      </c>
      <c r="C7" s="324">
        <f>B7*110%</f>
        <v>27684.800000000003</v>
      </c>
      <c r="D7" s="324">
        <f t="shared" si="1"/>
        <v>30201.599999999999</v>
      </c>
      <c r="E7" s="305">
        <v>37010</v>
      </c>
      <c r="F7" s="422">
        <f>'VariablesINPUT-CTR'!G25*2080</f>
        <v>49920</v>
      </c>
      <c r="G7" s="322">
        <f>'VariablesINPUT-FCC'!G25*2080</f>
        <v>0</v>
      </c>
      <c r="I7">
        <v>24197</v>
      </c>
      <c r="L7" s="29"/>
      <c r="M7" s="205"/>
      <c r="N7" s="12"/>
    </row>
    <row r="8" spans="1:14" ht="14">
      <c r="A8" s="307" t="s">
        <v>244</v>
      </c>
      <c r="B8" s="188">
        <v>18720</v>
      </c>
      <c r="C8" s="323">
        <f t="shared" si="0"/>
        <v>20592</v>
      </c>
      <c r="D8" s="323">
        <f t="shared" si="1"/>
        <v>22464</v>
      </c>
      <c r="E8" s="188">
        <v>31200</v>
      </c>
      <c r="F8" s="423">
        <f>'VariablesINPUT-CTR'!H25*2080</f>
        <v>49920</v>
      </c>
      <c r="G8" s="307"/>
      <c r="I8">
        <v>21433</v>
      </c>
    </row>
    <row r="9" spans="1:14" ht="14">
      <c r="B9" s="234"/>
      <c r="D9" s="190"/>
      <c r="E9" s="12"/>
      <c r="I9">
        <v>16980</v>
      </c>
      <c r="L9" s="29"/>
      <c r="M9" s="28"/>
    </row>
    <row r="10" spans="1:14" ht="14">
      <c r="B10" s="97"/>
      <c r="D10" s="77"/>
    </row>
    <row r="11" spans="1:14" ht="31" customHeight="1">
      <c r="A11" s="308" t="s">
        <v>245</v>
      </c>
      <c r="B11" s="308"/>
      <c r="C11" s="312"/>
      <c r="D11" s="308"/>
      <c r="F11" s="29"/>
      <c r="J11" s="204"/>
      <c r="K11" s="29"/>
    </row>
    <row r="12" spans="1:14" ht="14">
      <c r="A12" s="308">
        <v>10.5</v>
      </c>
      <c r="B12" s="319" t="s">
        <v>246</v>
      </c>
      <c r="C12" s="319" t="s">
        <v>247</v>
      </c>
      <c r="D12" s="319" t="s">
        <v>226</v>
      </c>
      <c r="E12" s="319" t="s">
        <v>227</v>
      </c>
      <c r="K12" s="29"/>
      <c r="L12" s="74"/>
    </row>
    <row r="13" spans="1:14" ht="14">
      <c r="A13" s="310"/>
      <c r="B13" s="310" t="s">
        <v>248</v>
      </c>
      <c r="C13" s="310" t="s">
        <v>30</v>
      </c>
      <c r="D13" s="311">
        <v>1.1000000000000001</v>
      </c>
      <c r="E13" s="311">
        <v>1.2</v>
      </c>
      <c r="K13" s="29"/>
      <c r="L13" s="1"/>
    </row>
    <row r="14" spans="1:14" ht="14">
      <c r="A14" s="307" t="s">
        <v>241</v>
      </c>
      <c r="B14" s="397">
        <f>I3</f>
        <v>44965</v>
      </c>
      <c r="C14" s="397">
        <f>B3</f>
        <v>50940</v>
      </c>
      <c r="D14" s="398">
        <f>C14*110%</f>
        <v>56034.000000000007</v>
      </c>
      <c r="E14" s="398">
        <f>C14*120%</f>
        <v>61128</v>
      </c>
      <c r="G14">
        <f>10.5*2080</f>
        <v>21840</v>
      </c>
      <c r="H14" s="12"/>
      <c r="I14" s="12"/>
      <c r="J14" s="12"/>
      <c r="K14" s="74"/>
      <c r="L14" s="1"/>
    </row>
    <row r="15" spans="1:14" ht="14">
      <c r="A15" s="307" t="s">
        <v>242</v>
      </c>
      <c r="B15" s="397">
        <f>I4</f>
        <v>33629</v>
      </c>
      <c r="C15" s="397">
        <f>B4</f>
        <v>40752</v>
      </c>
      <c r="D15" s="398">
        <f t="shared" ref="D15:D19" si="2">C15*110%</f>
        <v>44827.200000000004</v>
      </c>
      <c r="E15" s="398">
        <f>C15*120%</f>
        <v>48902.400000000001</v>
      </c>
      <c r="H15" s="12"/>
      <c r="I15" s="12"/>
      <c r="J15" s="12"/>
    </row>
    <row r="16" spans="1:14" ht="14">
      <c r="A16" s="307" t="s">
        <v>243</v>
      </c>
      <c r="B16" s="397">
        <v>21840</v>
      </c>
      <c r="C16" s="397">
        <f>10.5*2080</f>
        <v>21840</v>
      </c>
      <c r="D16" s="398">
        <f t="shared" si="2"/>
        <v>24024.000000000004</v>
      </c>
      <c r="E16" s="398">
        <f t="shared" ref="E16:E19" si="3">C16*120%</f>
        <v>26208</v>
      </c>
      <c r="H16" s="12"/>
      <c r="I16" s="12"/>
      <c r="J16" s="12"/>
    </row>
    <row r="17" spans="1:10" ht="14">
      <c r="A17" s="310" t="s">
        <v>39</v>
      </c>
      <c r="B17" s="397">
        <f t="shared" ref="B17" si="4">I6</f>
        <v>27445</v>
      </c>
      <c r="C17" s="397">
        <f>B6</f>
        <v>33160</v>
      </c>
      <c r="D17" s="398">
        <f t="shared" si="2"/>
        <v>36476</v>
      </c>
      <c r="E17" s="398">
        <f t="shared" si="3"/>
        <v>39792</v>
      </c>
      <c r="G17" s="208"/>
      <c r="H17" s="12"/>
      <c r="I17" s="12"/>
      <c r="J17" s="12"/>
    </row>
    <row r="18" spans="1:10" ht="14">
      <c r="A18" s="307" t="s">
        <v>40</v>
      </c>
      <c r="B18" s="397">
        <f>I7</f>
        <v>24197</v>
      </c>
      <c r="C18" s="397">
        <f>B18</f>
        <v>24197</v>
      </c>
      <c r="D18" s="398">
        <f t="shared" si="2"/>
        <v>26616.7</v>
      </c>
      <c r="E18" s="398">
        <f t="shared" si="3"/>
        <v>29036.399999999998</v>
      </c>
      <c r="G18" s="12"/>
      <c r="H18" s="12"/>
      <c r="I18" s="12"/>
      <c r="J18" s="12"/>
    </row>
    <row r="19" spans="1:10" ht="14">
      <c r="A19" s="307">
        <f>IF(D1="Licensing/Star 2",(12*A20),IF(D1="Star 2+/3",(2+((12+2.5)*A20)),IF(D1="Star 4",(3+(12+2.5)*A20),IF(D1="Star 5",(4+(12+2.5)*A20),0))))/2080</f>
        <v>0</v>
      </c>
      <c r="B19" s="397">
        <v>21840</v>
      </c>
      <c r="C19" s="397">
        <f>A12*2080</f>
        <v>21840</v>
      </c>
      <c r="D19" s="398">
        <f t="shared" si="2"/>
        <v>24024.000000000004</v>
      </c>
      <c r="E19" s="398">
        <f t="shared" si="3"/>
        <v>26208</v>
      </c>
      <c r="G19" s="12"/>
      <c r="H19" s="12"/>
      <c r="I19" s="12"/>
      <c r="J19" s="12"/>
    </row>
    <row r="20" spans="1:10" ht="14">
      <c r="A20" s="308">
        <f>SUM(A16:A18)</f>
        <v>0</v>
      </c>
      <c r="B20" s="234"/>
      <c r="D20" s="308"/>
    </row>
    <row r="21" spans="1:10" ht="14">
      <c r="A21" s="308"/>
      <c r="B21" s="424"/>
      <c r="C21" s="308"/>
      <c r="D21" s="308"/>
    </row>
    <row r="22" spans="1:10" ht="14">
      <c r="A22" s="308" t="s">
        <v>249</v>
      </c>
      <c r="B22" s="308"/>
      <c r="C22" s="309"/>
      <c r="D22" s="308"/>
    </row>
    <row r="23" spans="1:10" ht="14">
      <c r="A23" s="310">
        <v>12.1</v>
      </c>
      <c r="B23" s="319" t="s">
        <v>246</v>
      </c>
      <c r="C23" s="319" t="s">
        <v>247</v>
      </c>
      <c r="D23" s="319" t="s">
        <v>226</v>
      </c>
      <c r="E23" s="319" t="s">
        <v>227</v>
      </c>
    </row>
    <row r="24" spans="1:10" ht="14">
      <c r="A24" s="308"/>
      <c r="B24" s="310" t="s">
        <v>248</v>
      </c>
      <c r="C24" s="310" t="s">
        <v>30</v>
      </c>
      <c r="D24" s="311">
        <v>1.1000000000000001</v>
      </c>
      <c r="E24" s="311">
        <v>1.2</v>
      </c>
    </row>
    <row r="25" spans="1:10" ht="14">
      <c r="A25" s="307" t="s">
        <v>241</v>
      </c>
      <c r="B25" s="188">
        <f>I3</f>
        <v>44965</v>
      </c>
      <c r="C25" s="188">
        <f>B3</f>
        <v>50940</v>
      </c>
      <c r="D25" s="306">
        <f>C25*110%</f>
        <v>56034.000000000007</v>
      </c>
      <c r="E25" s="306">
        <f>C25*120%</f>
        <v>61128</v>
      </c>
      <c r="G25">
        <f>12.1*2080</f>
        <v>25168</v>
      </c>
    </row>
    <row r="26" spans="1:10" ht="14">
      <c r="A26" s="307" t="s">
        <v>242</v>
      </c>
      <c r="B26" s="188">
        <f t="shared" ref="B26:B28" si="5">I4</f>
        <v>33629</v>
      </c>
      <c r="C26" s="188">
        <f>B4</f>
        <v>40752</v>
      </c>
      <c r="D26" s="306">
        <f t="shared" ref="D26:D29" si="6">C26*110%</f>
        <v>44827.200000000004</v>
      </c>
      <c r="E26" s="306">
        <f t="shared" ref="E26:E29" si="7">C26*120%</f>
        <v>48902.400000000001</v>
      </c>
    </row>
    <row r="27" spans="1:10" ht="14">
      <c r="A27" s="307" t="s">
        <v>243</v>
      </c>
      <c r="B27" s="188">
        <v>25168</v>
      </c>
      <c r="C27" s="188">
        <f>A23*2080</f>
        <v>25168</v>
      </c>
      <c r="D27" s="306">
        <f t="shared" si="6"/>
        <v>27684.800000000003</v>
      </c>
      <c r="E27" s="306" t="b">
        <f>IF(Salary="BLS adj min wage",Wages!B19,IF(Salary="BLS adj $12.10",Wages!B30,
IF(Salary="Kindergarten Parity",Wages!D8,
IF(Salary="User added",Wages!E8,IF(Salary="$15 min wage",Wages!B40,
IF(Salary="$18 min wage",Wages!B50))))))</f>
        <v>0</v>
      </c>
      <c r="H27" t="s">
        <v>405</v>
      </c>
      <c r="I27" s="405">
        <v>1.25</v>
      </c>
      <c r="J27" s="406">
        <f>C26*I27</f>
        <v>50940</v>
      </c>
    </row>
    <row r="28" spans="1:10" ht="14">
      <c r="A28" s="310" t="s">
        <v>39</v>
      </c>
      <c r="B28" s="188">
        <f t="shared" si="5"/>
        <v>27445</v>
      </c>
      <c r="C28" s="188">
        <f>B6</f>
        <v>33160</v>
      </c>
      <c r="D28" s="306">
        <f t="shared" si="6"/>
        <v>36476</v>
      </c>
      <c r="E28" s="306">
        <f t="shared" si="7"/>
        <v>39792</v>
      </c>
      <c r="F28" s="12">
        <f>B28/2080</f>
        <v>13.194711538461538</v>
      </c>
      <c r="H28" t="s">
        <v>404</v>
      </c>
      <c r="I28" s="405">
        <v>1.1710400000000001</v>
      </c>
      <c r="J28" s="406">
        <f>C28*I28</f>
        <v>38831.686400000006</v>
      </c>
    </row>
    <row r="29" spans="1:10" ht="14">
      <c r="A29" s="307" t="s">
        <v>40</v>
      </c>
      <c r="B29" s="188">
        <v>25168</v>
      </c>
      <c r="C29" s="188">
        <f>12.1*2080</f>
        <v>25168</v>
      </c>
      <c r="D29" s="306">
        <f t="shared" si="6"/>
        <v>27684.800000000003</v>
      </c>
      <c r="E29" s="306">
        <f t="shared" si="7"/>
        <v>30201.599999999999</v>
      </c>
      <c r="F29" s="12">
        <f>B29/2080</f>
        <v>12.1</v>
      </c>
      <c r="H29" t="s">
        <v>403</v>
      </c>
      <c r="I29" s="405">
        <v>1.3827</v>
      </c>
      <c r="J29" s="406">
        <f>C29*I29</f>
        <v>34799.793600000005</v>
      </c>
    </row>
    <row r="30" spans="1:10" ht="14">
      <c r="A30" s="307" t="s">
        <v>244</v>
      </c>
      <c r="B30" s="188">
        <v>25168</v>
      </c>
      <c r="C30" s="188">
        <f>A23*2080</f>
        <v>25168</v>
      </c>
      <c r="D30" s="188">
        <f>C30*110%</f>
        <v>27684.800000000003</v>
      </c>
      <c r="E30" s="188">
        <f>C30*120%</f>
        <v>30201.599999999999</v>
      </c>
    </row>
    <row r="31" spans="1:10" ht="28" customHeight="1">
      <c r="A31" s="308"/>
      <c r="B31" s="308"/>
      <c r="C31" s="313"/>
      <c r="D31" s="308"/>
      <c r="I31" s="12"/>
    </row>
    <row r="32" spans="1:10" ht="14">
      <c r="A32" s="308" t="s">
        <v>402</v>
      </c>
      <c r="B32" s="308"/>
      <c r="C32" s="309"/>
      <c r="D32" s="308"/>
      <c r="H32" s="12">
        <f>C28/2080</f>
        <v>15.942307692307692</v>
      </c>
      <c r="I32" s="12">
        <f>D28/2080</f>
        <v>17.536538461538463</v>
      </c>
      <c r="J32" s="12">
        <f>E28/2080</f>
        <v>19.130769230769232</v>
      </c>
    </row>
    <row r="33" spans="1:8" ht="14">
      <c r="A33" s="310">
        <v>15</v>
      </c>
      <c r="B33" s="319" t="s">
        <v>246</v>
      </c>
      <c r="C33" s="319" t="s">
        <v>247</v>
      </c>
      <c r="D33" s="319" t="s">
        <v>226</v>
      </c>
      <c r="E33" s="319" t="s">
        <v>227</v>
      </c>
    </row>
    <row r="34" spans="1:8" ht="14">
      <c r="A34" s="308"/>
      <c r="B34" s="310" t="s">
        <v>248</v>
      </c>
      <c r="C34" s="310" t="s">
        <v>30</v>
      </c>
      <c r="D34" s="311">
        <v>1.1000000000000001</v>
      </c>
      <c r="E34" s="311">
        <v>1.2</v>
      </c>
    </row>
    <row r="35" spans="1:8" ht="14">
      <c r="A35" s="307" t="s">
        <v>241</v>
      </c>
      <c r="B35" s="188">
        <f>C35</f>
        <v>63148.683312000001</v>
      </c>
      <c r="C35" s="188">
        <f>C36*I27</f>
        <v>63148.683312000001</v>
      </c>
      <c r="D35" s="306">
        <f t="shared" ref="D35:D40" si="8">C35*110%</f>
        <v>69463.5516432</v>
      </c>
      <c r="E35" s="306">
        <f t="shared" ref="E35:E40" si="9">C35*120%</f>
        <v>75778.419974399992</v>
      </c>
      <c r="G35">
        <f>A33*2080</f>
        <v>31200</v>
      </c>
    </row>
    <row r="36" spans="1:8" ht="14">
      <c r="A36" s="307" t="s">
        <v>242</v>
      </c>
      <c r="B36" s="188">
        <f>C36</f>
        <v>50518.946649600002</v>
      </c>
      <c r="C36" s="188">
        <f>C38*I28</f>
        <v>50518.946649600002</v>
      </c>
      <c r="D36" s="306">
        <f t="shared" si="8"/>
        <v>55570.841314560006</v>
      </c>
      <c r="E36" s="306">
        <f t="shared" si="9"/>
        <v>60622.735979520003</v>
      </c>
    </row>
    <row r="37" spans="1:8" ht="14">
      <c r="A37" s="307" t="s">
        <v>243</v>
      </c>
      <c r="B37" s="188">
        <f>G35</f>
        <v>31200</v>
      </c>
      <c r="C37" s="188">
        <f>A33*2080</f>
        <v>31200</v>
      </c>
      <c r="D37" s="306">
        <f t="shared" si="8"/>
        <v>34320</v>
      </c>
      <c r="E37" s="306">
        <f t="shared" si="9"/>
        <v>37440</v>
      </c>
    </row>
    <row r="38" spans="1:8" ht="14">
      <c r="A38" s="407" t="s">
        <v>39</v>
      </c>
      <c r="B38" s="408">
        <f>C38</f>
        <v>43140.24</v>
      </c>
      <c r="C38" s="188">
        <f>G35*I29</f>
        <v>43140.24</v>
      </c>
      <c r="D38" s="306">
        <f t="shared" si="8"/>
        <v>47454.264000000003</v>
      </c>
      <c r="E38" s="306">
        <f t="shared" si="9"/>
        <v>51768.287999999993</v>
      </c>
      <c r="F38" s="12">
        <f>B38/2080</f>
        <v>20.740499999999997</v>
      </c>
      <c r="G38" s="12">
        <f>D38/2080</f>
        <v>22.814550000000001</v>
      </c>
      <c r="H38" s="12">
        <f>E38/2080</f>
        <v>24.888599999999997</v>
      </c>
    </row>
    <row r="39" spans="1:8" ht="14">
      <c r="A39" s="307" t="s">
        <v>40</v>
      </c>
      <c r="B39" s="188">
        <f>G35</f>
        <v>31200</v>
      </c>
      <c r="C39" s="188">
        <f>G35</f>
        <v>31200</v>
      </c>
      <c r="D39" s="306">
        <f t="shared" si="8"/>
        <v>34320</v>
      </c>
      <c r="E39" s="306">
        <f>C39*120%</f>
        <v>37440</v>
      </c>
      <c r="F39" s="12">
        <f>D39/2080</f>
        <v>16.5</v>
      </c>
      <c r="G39" s="12">
        <f>E39/2080</f>
        <v>18</v>
      </c>
    </row>
    <row r="40" spans="1:8" ht="14">
      <c r="A40" s="307" t="s">
        <v>244</v>
      </c>
      <c r="B40" s="188">
        <f>G35</f>
        <v>31200</v>
      </c>
      <c r="C40" s="188">
        <f>A33*2080</f>
        <v>31200</v>
      </c>
      <c r="D40" s="188">
        <f t="shared" si="8"/>
        <v>34320</v>
      </c>
      <c r="E40" s="188">
        <f t="shared" si="9"/>
        <v>37440</v>
      </c>
    </row>
    <row r="41" spans="1:8" ht="14">
      <c r="A41" s="308"/>
      <c r="B41" s="410"/>
      <c r="C41" s="410"/>
      <c r="D41" s="410"/>
      <c r="E41" s="410"/>
    </row>
    <row r="42" spans="1:8" ht="14">
      <c r="A42" s="308" t="s">
        <v>407</v>
      </c>
      <c r="B42" s="308"/>
      <c r="C42" s="309"/>
      <c r="D42" s="308"/>
    </row>
    <row r="43" spans="1:8" ht="14">
      <c r="A43" s="310">
        <v>18</v>
      </c>
      <c r="B43" s="319" t="s">
        <v>246</v>
      </c>
      <c r="C43" s="319" t="s">
        <v>247</v>
      </c>
      <c r="D43" s="319" t="s">
        <v>226</v>
      </c>
      <c r="E43" s="319" t="s">
        <v>227</v>
      </c>
    </row>
    <row r="44" spans="1:8" ht="14">
      <c r="A44" s="308"/>
      <c r="B44" s="310" t="s">
        <v>248</v>
      </c>
      <c r="C44" s="310" t="s">
        <v>30</v>
      </c>
      <c r="D44" s="311">
        <v>1.1000000000000001</v>
      </c>
      <c r="E44" s="311">
        <v>1.2</v>
      </c>
    </row>
    <row r="45" spans="1:8" ht="14">
      <c r="A45" s="307" t="s">
        <v>241</v>
      </c>
      <c r="B45" s="188">
        <f>C45</f>
        <v>75778.419974400007</v>
      </c>
      <c r="C45" s="188">
        <f>C46*I27</f>
        <v>75778.419974400007</v>
      </c>
      <c r="D45" s="306">
        <f t="shared" ref="D45:D50" si="10">C45*110%</f>
        <v>83356.261971840009</v>
      </c>
      <c r="E45" s="306">
        <f t="shared" ref="E45:E50" si="11">C45*120%</f>
        <v>90934.103969280011</v>
      </c>
      <c r="F45" s="12">
        <f>B45/2080</f>
        <v>36.431932680000003</v>
      </c>
      <c r="G45">
        <f>A43*2080</f>
        <v>37440</v>
      </c>
    </row>
    <row r="46" spans="1:8" ht="14">
      <c r="A46" s="307" t="s">
        <v>242</v>
      </c>
      <c r="B46" s="188">
        <f>C46</f>
        <v>60622.735979520003</v>
      </c>
      <c r="C46" s="188">
        <f>C48*I28</f>
        <v>60622.735979520003</v>
      </c>
      <c r="D46" s="306">
        <f t="shared" si="10"/>
        <v>66685.00957747201</v>
      </c>
      <c r="E46" s="306">
        <f t="shared" si="11"/>
        <v>72747.283175424003</v>
      </c>
    </row>
    <row r="47" spans="1:8" ht="14">
      <c r="A47" s="307" t="s">
        <v>243</v>
      </c>
      <c r="B47" s="188">
        <f>G45</f>
        <v>37440</v>
      </c>
      <c r="C47" s="188">
        <f>A43*2080</f>
        <v>37440</v>
      </c>
      <c r="D47" s="306">
        <f t="shared" si="10"/>
        <v>41184</v>
      </c>
      <c r="E47" s="306">
        <f t="shared" si="11"/>
        <v>44928</v>
      </c>
    </row>
    <row r="48" spans="1:8" ht="14">
      <c r="A48" s="407" t="s">
        <v>39</v>
      </c>
      <c r="B48" s="408">
        <f>C48</f>
        <v>51768.288</v>
      </c>
      <c r="C48" s="188">
        <f>G45*I29</f>
        <v>51768.288</v>
      </c>
      <c r="D48" s="306">
        <f t="shared" si="10"/>
        <v>56945.116800000003</v>
      </c>
      <c r="E48" s="306">
        <f t="shared" si="11"/>
        <v>62121.945599999999</v>
      </c>
      <c r="F48" s="12">
        <f>B48/2080</f>
        <v>24.8886</v>
      </c>
    </row>
    <row r="49" spans="1:11" ht="14">
      <c r="A49" s="307" t="s">
        <v>40</v>
      </c>
      <c r="B49" s="188">
        <f>C49</f>
        <v>37440</v>
      </c>
      <c r="C49" s="188">
        <f>G45</f>
        <v>37440</v>
      </c>
      <c r="D49" s="306">
        <f t="shared" si="10"/>
        <v>41184</v>
      </c>
      <c r="E49" s="306">
        <f t="shared" si="11"/>
        <v>44928</v>
      </c>
      <c r="F49" s="12">
        <f>B49/2080</f>
        <v>18</v>
      </c>
    </row>
    <row r="50" spans="1:11" ht="14">
      <c r="A50" s="307" t="s">
        <v>244</v>
      </c>
      <c r="B50" s="188">
        <f>C50</f>
        <v>37440</v>
      </c>
      <c r="C50" s="188">
        <f>A43*2080</f>
        <v>37440</v>
      </c>
      <c r="D50" s="188">
        <f t="shared" si="10"/>
        <v>41184</v>
      </c>
      <c r="E50" s="188">
        <f t="shared" si="11"/>
        <v>44928</v>
      </c>
    </row>
    <row r="51" spans="1:11" ht="14">
      <c r="A51" s="308"/>
      <c r="B51" s="308"/>
      <c r="C51" s="313"/>
      <c r="D51" s="308"/>
    </row>
    <row r="52" spans="1:11" ht="14">
      <c r="A52" s="308"/>
      <c r="B52" s="409" t="s">
        <v>406</v>
      </c>
    </row>
    <row r="53" spans="1:11" ht="14">
      <c r="A53" s="308" t="s">
        <v>427</v>
      </c>
      <c r="B53" s="308"/>
      <c r="C53" s="309"/>
      <c r="D53" s="308"/>
    </row>
    <row r="54" spans="1:11" ht="14">
      <c r="A54" s="310">
        <v>20</v>
      </c>
      <c r="B54" s="319" t="s">
        <v>246</v>
      </c>
      <c r="C54" s="319" t="s">
        <v>247</v>
      </c>
      <c r="D54" s="319" t="s">
        <v>226</v>
      </c>
      <c r="E54" s="319" t="s">
        <v>227</v>
      </c>
    </row>
    <row r="55" spans="1:11" ht="14">
      <c r="A55" s="308"/>
      <c r="B55" s="310" t="s">
        <v>248</v>
      </c>
      <c r="C55" s="310" t="s">
        <v>30</v>
      </c>
      <c r="D55" s="311">
        <v>1.1000000000000001</v>
      </c>
      <c r="E55" s="311">
        <v>1.2</v>
      </c>
      <c r="H55" t="str">
        <f>B54</f>
        <v>Licensing/2 Star</v>
      </c>
      <c r="I55" t="str">
        <f t="shared" ref="I55:J55" si="12">C54</f>
        <v>2+/3 Star</v>
      </c>
      <c r="J55" t="str">
        <f t="shared" si="12"/>
        <v>4 Star</v>
      </c>
      <c r="K55" t="str">
        <f>E54</f>
        <v>5 Star</v>
      </c>
    </row>
    <row r="56" spans="1:11" ht="14">
      <c r="A56" s="307" t="s">
        <v>241</v>
      </c>
      <c r="B56" s="188">
        <f>C56</f>
        <v>84198.244416000001</v>
      </c>
      <c r="C56" s="188">
        <f>C57*I27</f>
        <v>84198.244416000001</v>
      </c>
      <c r="D56" s="306">
        <f t="shared" ref="D56:D61" si="13">C56*110%</f>
        <v>92618.06885760001</v>
      </c>
      <c r="E56" s="306">
        <f>C56*120%</f>
        <v>101037.8932992</v>
      </c>
      <c r="F56" s="12">
        <f>B56/2080</f>
        <v>40.479925200000004</v>
      </c>
      <c r="G56">
        <f>A54*2080</f>
        <v>41600</v>
      </c>
      <c r="H56" s="12">
        <f>B56/2080</f>
        <v>40.479925200000004</v>
      </c>
      <c r="I56" s="12">
        <f t="shared" ref="I56:K61" si="14">C56/2080</f>
        <v>40.479925200000004</v>
      </c>
      <c r="J56" s="12">
        <f t="shared" si="14"/>
        <v>44.527917720000005</v>
      </c>
      <c r="K56" s="12">
        <f t="shared" si="14"/>
        <v>48.575910239999999</v>
      </c>
    </row>
    <row r="57" spans="1:11" ht="14">
      <c r="A57" s="307" t="s">
        <v>242</v>
      </c>
      <c r="B57" s="188">
        <f>C57</f>
        <v>67358.595532799998</v>
      </c>
      <c r="C57" s="188">
        <f>C59*I28</f>
        <v>67358.595532799998</v>
      </c>
      <c r="D57" s="306">
        <f t="shared" si="13"/>
        <v>74094.455086080008</v>
      </c>
      <c r="E57" s="306">
        <f t="shared" ref="E57:E61" si="15">C57*120%</f>
        <v>80830.314639359989</v>
      </c>
      <c r="H57" s="12">
        <f t="shared" ref="H57:H61" si="16">B57/2080</f>
        <v>32.383940160000002</v>
      </c>
      <c r="I57" s="12">
        <f t="shared" si="14"/>
        <v>32.383940160000002</v>
      </c>
      <c r="J57" s="12">
        <f t="shared" si="14"/>
        <v>35.622334176000003</v>
      </c>
      <c r="K57" s="12">
        <f t="shared" si="14"/>
        <v>38.860728191999996</v>
      </c>
    </row>
    <row r="58" spans="1:11" ht="14">
      <c r="A58" s="307" t="s">
        <v>243</v>
      </c>
      <c r="B58" s="188">
        <f>G56</f>
        <v>41600</v>
      </c>
      <c r="C58" s="188">
        <f>A54*2080</f>
        <v>41600</v>
      </c>
      <c r="D58" s="306">
        <f t="shared" si="13"/>
        <v>45760.000000000007</v>
      </c>
      <c r="E58" s="306">
        <f t="shared" si="15"/>
        <v>49920</v>
      </c>
      <c r="H58" s="12">
        <f t="shared" si="16"/>
        <v>20</v>
      </c>
      <c r="I58" s="12">
        <f t="shared" si="14"/>
        <v>20</v>
      </c>
      <c r="J58" s="12">
        <f t="shared" si="14"/>
        <v>22.000000000000004</v>
      </c>
      <c r="K58" s="12">
        <f t="shared" si="14"/>
        <v>24</v>
      </c>
    </row>
    <row r="59" spans="1:11" ht="14">
      <c r="A59" s="407" t="s">
        <v>39</v>
      </c>
      <c r="B59" s="408">
        <f>C59</f>
        <v>57520.32</v>
      </c>
      <c r="C59" s="188">
        <f>G56*I29</f>
        <v>57520.32</v>
      </c>
      <c r="D59" s="306">
        <f t="shared" si="13"/>
        <v>63272.352000000006</v>
      </c>
      <c r="E59" s="306">
        <f t="shared" si="15"/>
        <v>69024.383999999991</v>
      </c>
      <c r="F59" s="12">
        <f>B59/2080</f>
        <v>27.654</v>
      </c>
      <c r="H59" s="12">
        <f t="shared" si="16"/>
        <v>27.654</v>
      </c>
      <c r="I59" s="12">
        <f t="shared" si="14"/>
        <v>27.654</v>
      </c>
      <c r="J59" s="12">
        <f t="shared" si="14"/>
        <v>30.419400000000003</v>
      </c>
      <c r="K59" s="12">
        <f t="shared" si="14"/>
        <v>33.184799999999996</v>
      </c>
    </row>
    <row r="60" spans="1:11" ht="14">
      <c r="A60" s="307" t="s">
        <v>40</v>
      </c>
      <c r="B60" s="188">
        <f>C60</f>
        <v>41600</v>
      </c>
      <c r="C60" s="188">
        <f>G56</f>
        <v>41600</v>
      </c>
      <c r="D60" s="306">
        <f t="shared" si="13"/>
        <v>45760.000000000007</v>
      </c>
      <c r="E60" s="306">
        <f t="shared" si="15"/>
        <v>49920</v>
      </c>
      <c r="F60" s="12">
        <v>20</v>
      </c>
      <c r="H60" s="12">
        <f t="shared" si="16"/>
        <v>20</v>
      </c>
      <c r="I60" s="12">
        <f t="shared" si="14"/>
        <v>20</v>
      </c>
      <c r="J60" s="12">
        <f t="shared" si="14"/>
        <v>22.000000000000004</v>
      </c>
      <c r="K60" s="12">
        <f t="shared" si="14"/>
        <v>24</v>
      </c>
    </row>
    <row r="61" spans="1:11" ht="14">
      <c r="A61" s="307" t="s">
        <v>244</v>
      </c>
      <c r="B61" s="188">
        <f>C61</f>
        <v>41600</v>
      </c>
      <c r="C61" s="188">
        <f>A54*2080</f>
        <v>41600</v>
      </c>
      <c r="D61" s="188">
        <f t="shared" si="13"/>
        <v>45760.000000000007</v>
      </c>
      <c r="E61" s="188">
        <f t="shared" si="15"/>
        <v>49920</v>
      </c>
      <c r="H61" s="12">
        <f t="shared" si="16"/>
        <v>20</v>
      </c>
      <c r="I61" s="12">
        <f t="shared" si="14"/>
        <v>20</v>
      </c>
      <c r="J61" s="12">
        <f t="shared" si="14"/>
        <v>22.000000000000004</v>
      </c>
      <c r="K61" s="12">
        <f t="shared" si="14"/>
        <v>24</v>
      </c>
    </row>
    <row r="62" spans="1:11" ht="14">
      <c r="A62" s="308"/>
    </row>
    <row r="64" spans="1:11">
      <c r="A64" s="29" t="s">
        <v>240</v>
      </c>
    </row>
    <row r="65" spans="1:16">
      <c r="A65" s="29"/>
      <c r="B65" s="29" t="s">
        <v>250</v>
      </c>
      <c r="C65" s="29" t="s">
        <v>226</v>
      </c>
      <c r="D65" s="29" t="s">
        <v>227</v>
      </c>
      <c r="E65" s="29" t="s">
        <v>251</v>
      </c>
      <c r="F65" s="39" t="s">
        <v>252</v>
      </c>
      <c r="G65" s="29" t="s">
        <v>253</v>
      </c>
      <c r="H65" s="29" t="s">
        <v>254</v>
      </c>
      <c r="I65" s="29" t="s">
        <v>226</v>
      </c>
      <c r="J65" s="29" t="s">
        <v>227</v>
      </c>
      <c r="K65" s="29" t="s">
        <v>255</v>
      </c>
      <c r="L65" s="29" t="s">
        <v>256</v>
      </c>
      <c r="M65" s="29" t="s">
        <v>257</v>
      </c>
      <c r="N65" s="29" t="s">
        <v>258</v>
      </c>
      <c r="O65" s="29" t="s">
        <v>259</v>
      </c>
    </row>
    <row r="66" spans="1:16">
      <c r="A66" s="75" t="s">
        <v>241</v>
      </c>
      <c r="B66" s="29">
        <v>43666</v>
      </c>
      <c r="C66" s="29">
        <v>38017</v>
      </c>
      <c r="D66" s="29">
        <v>50266</v>
      </c>
      <c r="E66" s="29">
        <v>48543</v>
      </c>
      <c r="F66" s="38">
        <v>37500</v>
      </c>
      <c r="G66">
        <v>48341</v>
      </c>
      <c r="H66">
        <v>33202</v>
      </c>
      <c r="I66">
        <v>38017</v>
      </c>
      <c r="J66">
        <v>50266</v>
      </c>
      <c r="K66">
        <v>48248</v>
      </c>
      <c r="L66">
        <v>47243</v>
      </c>
      <c r="M66">
        <v>43938</v>
      </c>
      <c r="N66">
        <v>48756</v>
      </c>
      <c r="O66">
        <v>39331</v>
      </c>
      <c r="P66" s="28">
        <f>SUM(N66-O66)/O66</f>
        <v>0.23963285957641556</v>
      </c>
    </row>
    <row r="67" spans="1:16">
      <c r="A67" s="75" t="s">
        <v>242</v>
      </c>
      <c r="B67" s="29">
        <v>33173</v>
      </c>
      <c r="C67" s="29">
        <v>28267</v>
      </c>
      <c r="D67" s="29">
        <v>39051</v>
      </c>
      <c r="E67" s="29">
        <v>32153</v>
      </c>
      <c r="F67" s="38">
        <v>34000</v>
      </c>
      <c r="G67">
        <v>20000</v>
      </c>
      <c r="H67">
        <v>31020</v>
      </c>
      <c r="I67">
        <v>28267</v>
      </c>
      <c r="J67">
        <v>39501</v>
      </c>
      <c r="K67">
        <v>33561</v>
      </c>
      <c r="L67">
        <v>31693</v>
      </c>
      <c r="M67">
        <v>34221</v>
      </c>
      <c r="N67">
        <v>34656</v>
      </c>
      <c r="O67">
        <v>25141</v>
      </c>
      <c r="P67" s="28">
        <f>SUM(N67-O67)/O67</f>
        <v>0.3784654548347321</v>
      </c>
    </row>
    <row r="68" spans="1:16">
      <c r="A68" s="75" t="s">
        <v>243</v>
      </c>
      <c r="B68" s="29"/>
      <c r="C68" s="29"/>
      <c r="D68" s="29"/>
      <c r="E68" s="29"/>
      <c r="F68" s="38"/>
    </row>
    <row r="69" spans="1:16">
      <c r="A69" s="207" t="s">
        <v>260</v>
      </c>
      <c r="B69" s="29">
        <v>12.41</v>
      </c>
      <c r="C69" s="29">
        <v>10.8</v>
      </c>
      <c r="D69" s="29">
        <v>13.11</v>
      </c>
      <c r="E69" s="29">
        <v>14.34</v>
      </c>
      <c r="F69" s="38">
        <v>11.38</v>
      </c>
      <c r="G69">
        <v>11.68</v>
      </c>
      <c r="H69">
        <v>13.07</v>
      </c>
      <c r="I69">
        <v>10.8</v>
      </c>
      <c r="J69">
        <v>13.11</v>
      </c>
      <c r="K69">
        <v>13.41</v>
      </c>
      <c r="L69">
        <v>13.66</v>
      </c>
      <c r="M69">
        <v>12.09</v>
      </c>
      <c r="N69">
        <v>13</v>
      </c>
      <c r="O69">
        <v>11.91</v>
      </c>
      <c r="P69" s="28">
        <f t="shared" ref="P69:P76" si="17">SUM(N69-O69)/O69</f>
        <v>9.1519731318219971E-2</v>
      </c>
    </row>
    <row r="70" spans="1:16">
      <c r="A70" s="207" t="s">
        <v>261</v>
      </c>
      <c r="B70" s="29">
        <v>11.6</v>
      </c>
      <c r="C70" s="29">
        <v>11.35</v>
      </c>
      <c r="D70" s="29">
        <v>12.6</v>
      </c>
      <c r="E70" s="29">
        <v>15.41</v>
      </c>
      <c r="F70" s="38">
        <v>11.38</v>
      </c>
      <c r="G70">
        <v>11.82</v>
      </c>
      <c r="H70">
        <v>11.4</v>
      </c>
      <c r="I70">
        <v>11.35</v>
      </c>
      <c r="J70">
        <v>12.6</v>
      </c>
      <c r="K70">
        <v>14.12</v>
      </c>
      <c r="L70">
        <v>14.26</v>
      </c>
      <c r="M70">
        <v>11.79</v>
      </c>
      <c r="N70">
        <v>13.62</v>
      </c>
      <c r="O70">
        <v>11.19</v>
      </c>
      <c r="P70" s="28">
        <f t="shared" si="17"/>
        <v>0.21715817694369971</v>
      </c>
    </row>
    <row r="71" spans="1:16">
      <c r="A71" s="207" t="s">
        <v>262</v>
      </c>
      <c r="B71" s="29">
        <v>13.58</v>
      </c>
      <c r="C71" s="29">
        <v>12.73</v>
      </c>
      <c r="D71" s="29">
        <v>16.190000000000001</v>
      </c>
      <c r="E71" s="29">
        <v>16.260000000000002</v>
      </c>
      <c r="F71" s="38">
        <v>11.38</v>
      </c>
      <c r="G71">
        <v>14.05</v>
      </c>
      <c r="H71">
        <v>13.04</v>
      </c>
      <c r="I71">
        <v>12.73</v>
      </c>
      <c r="J71">
        <v>16.190000000000001</v>
      </c>
      <c r="K71">
        <v>14.67</v>
      </c>
      <c r="L71">
        <v>14.56</v>
      </c>
      <c r="M71">
        <v>14.06</v>
      </c>
      <c r="N71">
        <v>15.08</v>
      </c>
      <c r="O71">
        <v>12.9</v>
      </c>
      <c r="P71" s="28">
        <f t="shared" si="17"/>
        <v>0.16899224806201549</v>
      </c>
    </row>
    <row r="72" spans="1:16">
      <c r="A72" s="207" t="s">
        <v>263</v>
      </c>
      <c r="B72" s="29">
        <v>12.32</v>
      </c>
      <c r="C72" s="29">
        <v>10.7</v>
      </c>
      <c r="D72" s="29">
        <v>12.05</v>
      </c>
      <c r="E72" s="29">
        <v>13.61</v>
      </c>
      <c r="F72" s="38">
        <v>11.38</v>
      </c>
      <c r="G72">
        <v>11.92</v>
      </c>
      <c r="H72">
        <v>13.08</v>
      </c>
      <c r="I72">
        <v>10.7</v>
      </c>
      <c r="J72">
        <v>12.05</v>
      </c>
      <c r="K72">
        <v>12.04</v>
      </c>
      <c r="L72">
        <v>13.19</v>
      </c>
      <c r="M72">
        <v>11.64</v>
      </c>
      <c r="N72">
        <v>12.52</v>
      </c>
      <c r="O72">
        <v>11.65</v>
      </c>
      <c r="P72" s="28">
        <f t="shared" si="17"/>
        <v>7.4678111587982765E-2</v>
      </c>
    </row>
    <row r="73" spans="1:16">
      <c r="A73" s="75" t="s">
        <v>264</v>
      </c>
      <c r="B73" s="29">
        <v>10.93</v>
      </c>
      <c r="C73" s="29">
        <v>10.44</v>
      </c>
      <c r="D73" s="29">
        <v>10.7</v>
      </c>
      <c r="E73" s="29">
        <v>12.03</v>
      </c>
      <c r="F73" s="38"/>
      <c r="G73">
        <v>11.06</v>
      </c>
      <c r="H73">
        <v>10.89</v>
      </c>
      <c r="I73">
        <v>10.44</v>
      </c>
      <c r="J73">
        <v>10.7</v>
      </c>
      <c r="K73">
        <v>12.02</v>
      </c>
      <c r="L73">
        <v>12.02</v>
      </c>
      <c r="M73">
        <v>10.69</v>
      </c>
      <c r="N73">
        <v>11.65</v>
      </c>
      <c r="O73">
        <v>10.96</v>
      </c>
      <c r="P73" s="28">
        <f t="shared" si="17"/>
        <v>6.2956204379561995E-2</v>
      </c>
    </row>
    <row r="74" spans="1:16">
      <c r="A74" s="75" t="s">
        <v>265</v>
      </c>
      <c r="B74" s="29">
        <v>11.52</v>
      </c>
      <c r="C74" s="29">
        <v>10.17</v>
      </c>
      <c r="D74" s="29">
        <v>10.8</v>
      </c>
      <c r="E74" s="29">
        <v>12.31</v>
      </c>
      <c r="F74" s="38"/>
      <c r="G74">
        <v>12.96</v>
      </c>
      <c r="H74">
        <v>10.89</v>
      </c>
      <c r="I74">
        <v>10.17</v>
      </c>
      <c r="J74">
        <v>10.8</v>
      </c>
      <c r="K74">
        <v>11.56</v>
      </c>
      <c r="L74">
        <v>11.65</v>
      </c>
      <c r="M74">
        <v>10.97</v>
      </c>
      <c r="N74">
        <v>11.89</v>
      </c>
      <c r="O74">
        <v>10.31</v>
      </c>
      <c r="P74" s="28">
        <f t="shared" si="17"/>
        <v>0.15324927255092144</v>
      </c>
    </row>
    <row r="75" spans="1:16">
      <c r="A75" s="75" t="s">
        <v>266</v>
      </c>
      <c r="B75" s="29">
        <v>13.19</v>
      </c>
      <c r="C75" s="29">
        <v>11.3</v>
      </c>
      <c r="D75" s="29">
        <v>13.18</v>
      </c>
      <c r="E75" s="29">
        <v>12.82</v>
      </c>
      <c r="F75" s="38"/>
      <c r="G75">
        <v>12.18</v>
      </c>
      <c r="H75">
        <v>11.55</v>
      </c>
      <c r="I75">
        <v>11.3</v>
      </c>
      <c r="J75">
        <v>13.18</v>
      </c>
      <c r="K75">
        <v>12.34</v>
      </c>
      <c r="L75">
        <v>11.59</v>
      </c>
      <c r="M75">
        <v>12.74</v>
      </c>
      <c r="N75">
        <v>13.48</v>
      </c>
      <c r="O75">
        <v>10.54</v>
      </c>
      <c r="P75" s="28">
        <f t="shared" si="17"/>
        <v>0.27893738140417473</v>
      </c>
    </row>
    <row r="76" spans="1:16">
      <c r="A76" s="75" t="s">
        <v>267</v>
      </c>
      <c r="B76" s="29">
        <v>11.54</v>
      </c>
      <c r="C76" s="29">
        <v>10.4</v>
      </c>
      <c r="D76" s="29">
        <v>10</v>
      </c>
      <c r="E76" s="29">
        <v>12.01</v>
      </c>
      <c r="G76">
        <v>10.01</v>
      </c>
      <c r="H76">
        <v>14.35</v>
      </c>
      <c r="I76">
        <v>10.4</v>
      </c>
      <c r="J76">
        <v>10</v>
      </c>
      <c r="K76">
        <v>11.38</v>
      </c>
      <c r="L76">
        <v>11.5</v>
      </c>
      <c r="M76">
        <v>10.95</v>
      </c>
      <c r="N76">
        <v>11.5</v>
      </c>
      <c r="O76">
        <v>10.81</v>
      </c>
      <c r="P76" s="28">
        <f t="shared" si="17"/>
        <v>6.3829787234042507E-2</v>
      </c>
    </row>
    <row r="77" spans="1:16">
      <c r="A77" s="75"/>
      <c r="B77" s="29"/>
      <c r="C77" s="29"/>
      <c r="D77" s="29"/>
      <c r="O77" s="28"/>
    </row>
    <row r="78" spans="1:16">
      <c r="B78" s="29" t="s">
        <v>268</v>
      </c>
      <c r="C78" s="29"/>
      <c r="D78" s="29"/>
      <c r="E78" s="29"/>
      <c r="L78" s="28"/>
    </row>
    <row r="79" spans="1:16">
      <c r="A79" s="75" t="s">
        <v>241</v>
      </c>
      <c r="B79" s="205">
        <f>SUM(D66-B66)/B66</f>
        <v>0.151147345761004</v>
      </c>
      <c r="J79" s="28">
        <f>SUM(N70-N69)/N69</f>
        <v>4.7692307692307631E-2</v>
      </c>
      <c r="L79" s="209" t="s">
        <v>269</v>
      </c>
    </row>
    <row r="80" spans="1:16">
      <c r="A80" s="75" t="s">
        <v>242</v>
      </c>
      <c r="B80" s="205">
        <f>SUM(D67-B67)/B67</f>
        <v>0.17719229493865493</v>
      </c>
      <c r="I80" s="29"/>
      <c r="J80" s="28">
        <f>SUM(N71-N70)/N70</f>
        <v>0.10719530102790022</v>
      </c>
      <c r="L80" s="28"/>
    </row>
    <row r="81" spans="1:10">
      <c r="A81" s="75" t="s">
        <v>243</v>
      </c>
      <c r="B81" s="205"/>
      <c r="I81" s="29"/>
      <c r="J81" s="28">
        <f t="shared" ref="J81:J84" si="18">SUM(N72-N71)/N71</f>
        <v>-0.16976127320954909</v>
      </c>
    </row>
    <row r="82" spans="1:10">
      <c r="A82" s="207" t="s">
        <v>260</v>
      </c>
      <c r="B82" s="205">
        <f t="shared" ref="B82:B89" si="19">SUM(D69-B69)/B69</f>
        <v>5.6406124093472947E-2</v>
      </c>
      <c r="I82" s="29"/>
      <c r="J82" s="28">
        <f t="shared" si="18"/>
        <v>-6.9488817891373747E-2</v>
      </c>
    </row>
    <row r="83" spans="1:10">
      <c r="A83" s="207" t="s">
        <v>261</v>
      </c>
      <c r="B83" s="205">
        <f t="shared" si="19"/>
        <v>8.6206896551724144E-2</v>
      </c>
      <c r="J83" s="28">
        <f t="shared" si="18"/>
        <v>2.060085836909873E-2</v>
      </c>
    </row>
    <row r="84" spans="1:10">
      <c r="A84" s="207" t="s">
        <v>262</v>
      </c>
      <c r="B84" s="205">
        <f t="shared" si="19"/>
        <v>0.19219440353460981</v>
      </c>
      <c r="J84" s="28">
        <f t="shared" si="18"/>
        <v>0.13372582001682085</v>
      </c>
    </row>
    <row r="85" spans="1:10">
      <c r="A85" s="207" t="s">
        <v>263</v>
      </c>
      <c r="B85" s="205">
        <f t="shared" si="19"/>
        <v>-2.1915584415584381E-2</v>
      </c>
    </row>
    <row r="86" spans="1:10">
      <c r="A86" s="75" t="s">
        <v>264</v>
      </c>
      <c r="B86" s="205">
        <f t="shared" si="19"/>
        <v>-2.1043000914913124E-2</v>
      </c>
    </row>
    <row r="87" spans="1:10">
      <c r="A87" s="75" t="s">
        <v>265</v>
      </c>
      <c r="B87" s="205">
        <f t="shared" si="19"/>
        <v>-6.2499999999999903E-2</v>
      </c>
    </row>
    <row r="88" spans="1:10">
      <c r="A88" s="75" t="s">
        <v>266</v>
      </c>
      <c r="B88" s="205">
        <f t="shared" si="19"/>
        <v>-7.581501137225009E-4</v>
      </c>
    </row>
    <row r="89" spans="1:10">
      <c r="A89" s="75" t="s">
        <v>267</v>
      </c>
      <c r="B89" s="205">
        <f t="shared" si="19"/>
        <v>-0.13344887348353546</v>
      </c>
    </row>
    <row r="91" spans="1:10">
      <c r="A91" t="s">
        <v>270</v>
      </c>
    </row>
    <row r="92" spans="1:10">
      <c r="A92" s="29" t="s">
        <v>271</v>
      </c>
      <c r="B92" t="s">
        <v>272</v>
      </c>
      <c r="C92" t="s">
        <v>273</v>
      </c>
      <c r="D92" s="29" t="s">
        <v>39</v>
      </c>
      <c r="E92" s="29" t="s">
        <v>274</v>
      </c>
    </row>
    <row r="93" spans="1:10" ht="14">
      <c r="A93" s="366">
        <v>49110</v>
      </c>
      <c r="B93" s="366">
        <v>49110</v>
      </c>
      <c r="C93" s="366">
        <v>27290</v>
      </c>
      <c r="D93" s="366">
        <v>34800</v>
      </c>
      <c r="E93" s="366">
        <v>23800</v>
      </c>
    </row>
  </sheetData>
  <hyperlinks>
    <hyperlink ref="B1" r:id="rId1" xr:uid="{CA49E0EA-045C-E048-9182-EFA59CFF1728}"/>
  </hyperlinks>
  <pageMargins left="0.7" right="0.7" top="0.75" bottom="0.75" header="0.3" footer="0.3"/>
  <ignoredErrors>
    <ignoredError sqref="C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Z61"/>
  <sheetViews>
    <sheetView zoomScale="130" zoomScaleNormal="130" workbookViewId="0">
      <selection activeCell="F64" sqref="F64"/>
    </sheetView>
  </sheetViews>
  <sheetFormatPr baseColWidth="10" defaultColWidth="8.83203125" defaultRowHeight="13"/>
  <cols>
    <col min="1" max="1" width="32.1640625" customWidth="1"/>
    <col min="2" max="2" width="13.6640625" style="38" customWidth="1"/>
    <col min="3" max="3" width="11.6640625" customWidth="1"/>
    <col min="4" max="5" width="15.1640625" customWidth="1"/>
    <col min="6" max="6" width="11.1640625" customWidth="1"/>
    <col min="7" max="7" width="10.5" customWidth="1"/>
    <col min="8" max="8" width="4" customWidth="1"/>
    <col min="9" max="9" width="15.83203125" customWidth="1"/>
    <col min="10" max="10" width="10.1640625" bestFit="1" customWidth="1"/>
    <col min="11" max="11" width="17.1640625" customWidth="1"/>
    <col min="12" max="12" width="12.6640625" bestFit="1" customWidth="1"/>
    <col min="13" max="13" width="13.83203125" customWidth="1"/>
    <col min="14" max="14" width="13" customWidth="1"/>
    <col min="15" max="15" width="10.6640625" customWidth="1"/>
    <col min="16" max="16" width="23" customWidth="1"/>
    <col min="17" max="17" width="11.5" bestFit="1" customWidth="1"/>
    <col min="18" max="20" width="10.5" bestFit="1" customWidth="1"/>
    <col min="21" max="21" width="11.5" bestFit="1" customWidth="1"/>
    <col min="22" max="24" width="10.5" bestFit="1" customWidth="1"/>
    <col min="25" max="25" width="11.5" bestFit="1" customWidth="1"/>
    <col min="26" max="26" width="10.5" bestFit="1" customWidth="1"/>
  </cols>
  <sheetData>
    <row r="1" spans="1:26" ht="29.25" customHeight="1">
      <c r="A1" s="2"/>
      <c r="B1" s="45" t="s">
        <v>275</v>
      </c>
      <c r="C1" s="46" t="s">
        <v>276</v>
      </c>
      <c r="D1" s="204" t="s">
        <v>413</v>
      </c>
      <c r="E1" s="204" t="s">
        <v>414</v>
      </c>
      <c r="F1" s="411" t="s">
        <v>425</v>
      </c>
      <c r="G1" s="29"/>
      <c r="H1" s="46"/>
      <c r="I1" s="2" t="s">
        <v>277</v>
      </c>
      <c r="J1" s="46" t="s">
        <v>278</v>
      </c>
      <c r="K1" s="411" t="s">
        <v>425</v>
      </c>
      <c r="L1" s="46" t="s">
        <v>279</v>
      </c>
      <c r="M1" s="46" t="s">
        <v>280</v>
      </c>
    </row>
    <row r="2" spans="1:26">
      <c r="A2" s="29" t="s">
        <v>281</v>
      </c>
      <c r="B2" s="39">
        <f>'VariablesINPUT-CTR'!C13</f>
        <v>110</v>
      </c>
      <c r="C2" s="29"/>
      <c r="E2">
        <v>65</v>
      </c>
      <c r="F2" s="412">
        <v>0.14799999999999999</v>
      </c>
      <c r="G2" s="67"/>
      <c r="H2" s="29"/>
      <c r="K2" s="412">
        <v>0.14799999999999999</v>
      </c>
      <c r="L2" s="29"/>
      <c r="M2" s="29"/>
    </row>
    <row r="3" spans="1:26">
      <c r="A3" s="29" t="s">
        <v>79</v>
      </c>
      <c r="B3" s="292">
        <f>'VariablesINPUT-CTR'!G13</f>
        <v>5</v>
      </c>
      <c r="C3" s="29"/>
      <c r="D3">
        <v>5.19</v>
      </c>
      <c r="E3">
        <v>6</v>
      </c>
      <c r="F3" s="409"/>
      <c r="H3" s="29"/>
      <c r="L3" s="29"/>
      <c r="M3" s="29"/>
    </row>
    <row r="4" spans="1:26" ht="24" customHeight="1">
      <c r="A4" s="6" t="s">
        <v>282</v>
      </c>
      <c r="C4" s="29"/>
      <c r="F4" s="409"/>
      <c r="H4" s="29"/>
      <c r="I4" s="30" t="s">
        <v>283</v>
      </c>
      <c r="J4" s="29">
        <v>148.80000000000001</v>
      </c>
      <c r="K4" s="441">
        <f>SUM(J4,(J4*$K$2))</f>
        <v>170.82240000000002</v>
      </c>
      <c r="M4">
        <v>800</v>
      </c>
      <c r="N4" s="399">
        <f>M4/6</f>
        <v>133.33333333333334</v>
      </c>
      <c r="Q4" s="171"/>
    </row>
    <row r="5" spans="1:26" s="40" customFormat="1">
      <c r="A5" s="47" t="s">
        <v>284</v>
      </c>
      <c r="B5" s="85"/>
      <c r="C5" s="78"/>
      <c r="D5"/>
      <c r="E5"/>
      <c r="F5" s="409"/>
      <c r="G5"/>
      <c r="H5" s="29"/>
      <c r="I5" s="29" t="s">
        <v>285</v>
      </c>
      <c r="J5" s="29">
        <v>247.99</v>
      </c>
      <c r="K5" s="441">
        <f t="shared" ref="K5:K17" si="0">SUM(J5,(J5*$K$2))</f>
        <v>284.69252</v>
      </c>
      <c r="L5" s="29"/>
      <c r="M5">
        <v>3609</v>
      </c>
      <c r="N5" s="399">
        <f t="shared" ref="N5:N17" si="1">M5/6</f>
        <v>601.5</v>
      </c>
      <c r="O5"/>
      <c r="P5"/>
      <c r="Q5"/>
      <c r="R5"/>
      <c r="S5"/>
      <c r="T5"/>
      <c r="U5"/>
      <c r="V5"/>
      <c r="W5"/>
      <c r="X5"/>
      <c r="Y5"/>
    </row>
    <row r="6" spans="1:26">
      <c r="A6" s="84" t="s">
        <v>286</v>
      </c>
      <c r="B6" s="42">
        <f>SUM(30)*B2</f>
        <v>3300</v>
      </c>
      <c r="C6" s="31"/>
      <c r="E6" s="29">
        <f>SUM(1515.12)</f>
        <v>1515.12</v>
      </c>
      <c r="F6" s="413">
        <f>SUM(E6,(E6*$F$2))</f>
        <v>1739.3577599999999</v>
      </c>
      <c r="G6" s="210"/>
      <c r="H6" s="31"/>
      <c r="I6" s="29" t="s">
        <v>287</v>
      </c>
      <c r="J6">
        <v>297.58999999999997</v>
      </c>
      <c r="K6" s="441">
        <f t="shared" si="0"/>
        <v>341.63331999999997</v>
      </c>
      <c r="L6" s="7"/>
      <c r="M6" s="31">
        <v>688</v>
      </c>
      <c r="N6" s="399">
        <f t="shared" si="1"/>
        <v>114.66666666666667</v>
      </c>
    </row>
    <row r="7" spans="1:26">
      <c r="A7" s="48" t="s">
        <v>288</v>
      </c>
      <c r="B7" s="42">
        <v>1428</v>
      </c>
      <c r="C7" s="31" t="s">
        <v>27</v>
      </c>
      <c r="E7">
        <v>1240.3900000000001</v>
      </c>
      <c r="F7" s="413">
        <f t="shared" ref="F7:F18" si="2">SUM(E7,(E7*$F$2))</f>
        <v>1423.9677200000001</v>
      </c>
      <c r="G7" s="210"/>
      <c r="H7" s="31"/>
      <c r="I7" s="29" t="s">
        <v>289</v>
      </c>
      <c r="J7">
        <v>446.39</v>
      </c>
      <c r="K7" s="441">
        <f t="shared" si="0"/>
        <v>512.45571999999993</v>
      </c>
      <c r="L7" s="7"/>
      <c r="M7" s="31">
        <v>1878</v>
      </c>
      <c r="N7" s="399">
        <f t="shared" si="1"/>
        <v>313</v>
      </c>
    </row>
    <row r="8" spans="1:26">
      <c r="A8" s="48" t="s">
        <v>290</v>
      </c>
      <c r="B8" s="42">
        <f>SUM(74.4*B2)</f>
        <v>8184.0000000000009</v>
      </c>
      <c r="C8" s="31" t="s">
        <v>27</v>
      </c>
      <c r="E8">
        <v>1834.99</v>
      </c>
      <c r="F8" s="413">
        <f t="shared" si="2"/>
        <v>2106.5685199999998</v>
      </c>
      <c r="G8" s="210"/>
      <c r="H8" s="191"/>
      <c r="I8" s="31" t="s">
        <v>291</v>
      </c>
      <c r="J8">
        <v>120</v>
      </c>
      <c r="K8" s="441">
        <f t="shared" si="0"/>
        <v>137.76</v>
      </c>
      <c r="L8" s="31"/>
      <c r="M8" s="31">
        <v>280</v>
      </c>
      <c r="N8" s="399">
        <f t="shared" si="1"/>
        <v>46.666666666666664</v>
      </c>
    </row>
    <row r="9" spans="1:26">
      <c r="A9" s="48" t="s">
        <v>292</v>
      </c>
      <c r="B9" s="42">
        <v>2976</v>
      </c>
      <c r="C9" s="31" t="s">
        <v>27</v>
      </c>
      <c r="E9">
        <v>1397.91</v>
      </c>
      <c r="F9" s="413">
        <f t="shared" si="2"/>
        <v>1604.8006800000001</v>
      </c>
      <c r="G9" s="210"/>
      <c r="H9" s="31"/>
      <c r="I9" s="31" t="s">
        <v>293</v>
      </c>
      <c r="J9">
        <v>595.17999999999995</v>
      </c>
      <c r="K9" s="441">
        <f t="shared" si="0"/>
        <v>683.26663999999994</v>
      </c>
      <c r="L9" s="31"/>
      <c r="M9" s="31">
        <v>1344</v>
      </c>
      <c r="N9" s="399">
        <f t="shared" si="1"/>
        <v>224</v>
      </c>
    </row>
    <row r="10" spans="1:26">
      <c r="A10" s="48" t="s">
        <v>294</v>
      </c>
      <c r="B10" s="42">
        <v>496</v>
      </c>
      <c r="C10" s="31" t="s">
        <v>27</v>
      </c>
      <c r="E10">
        <v>89.79</v>
      </c>
      <c r="F10" s="413">
        <f t="shared" si="2"/>
        <v>103.07892000000001</v>
      </c>
      <c r="G10" s="210"/>
      <c r="H10" s="31"/>
      <c r="I10" s="31" t="s">
        <v>295</v>
      </c>
      <c r="J10">
        <v>178.55</v>
      </c>
      <c r="K10" s="441">
        <f t="shared" si="0"/>
        <v>204.97540000000001</v>
      </c>
      <c r="L10" s="31"/>
      <c r="M10" s="400">
        <v>3988</v>
      </c>
      <c r="N10" s="399">
        <f t="shared" si="1"/>
        <v>664.66666666666663</v>
      </c>
    </row>
    <row r="11" spans="1:26">
      <c r="A11" s="48"/>
      <c r="C11" s="31"/>
      <c r="E11">
        <v>133.59</v>
      </c>
      <c r="F11" s="413">
        <f t="shared" si="2"/>
        <v>153.36132000000001</v>
      </c>
      <c r="G11" s="210"/>
      <c r="H11" s="31"/>
      <c r="I11" s="31" t="s">
        <v>296</v>
      </c>
      <c r="J11">
        <v>238.07</v>
      </c>
      <c r="K11" s="441">
        <f t="shared" si="0"/>
        <v>273.30435999999997</v>
      </c>
      <c r="L11" s="31"/>
      <c r="M11" s="400">
        <v>9836</v>
      </c>
      <c r="N11" s="399">
        <f t="shared" si="1"/>
        <v>1639.3333333333333</v>
      </c>
    </row>
    <row r="12" spans="1:26" ht="14">
      <c r="A12" s="48"/>
      <c r="B12" s="39"/>
      <c r="C12" s="31"/>
      <c r="E12">
        <v>60.21</v>
      </c>
      <c r="F12" s="413">
        <f t="shared" si="2"/>
        <v>69.121080000000006</v>
      </c>
      <c r="G12" s="210"/>
      <c r="H12" s="31"/>
      <c r="I12" s="31" t="s">
        <v>53</v>
      </c>
      <c r="J12">
        <v>446.39</v>
      </c>
      <c r="K12" s="441">
        <f>SUM(J12,(J12*$K$2))</f>
        <v>512.45571999999993</v>
      </c>
      <c r="L12" s="172"/>
      <c r="M12" s="31">
        <f>SUM(4247,2317)</f>
        <v>6564</v>
      </c>
      <c r="N12" s="399">
        <f t="shared" si="1"/>
        <v>1094</v>
      </c>
    </row>
    <row r="13" spans="1:26">
      <c r="A13" s="50"/>
      <c r="C13" s="29"/>
      <c r="E13">
        <v>343.34</v>
      </c>
      <c r="F13" s="413">
        <f t="shared" si="2"/>
        <v>394.15431999999998</v>
      </c>
      <c r="G13" s="210"/>
      <c r="H13" s="29"/>
      <c r="I13" s="31" t="s">
        <v>297</v>
      </c>
      <c r="J13">
        <v>4761.46</v>
      </c>
      <c r="K13" s="441">
        <f>SUM(J13,(J13*$K$2))</f>
        <v>5466.1560799999997</v>
      </c>
      <c r="M13" s="31">
        <v>15354</v>
      </c>
      <c r="N13" s="399">
        <f t="shared" si="1"/>
        <v>2559</v>
      </c>
    </row>
    <row r="14" spans="1:26" s="40" customFormat="1">
      <c r="E14">
        <v>226.59</v>
      </c>
      <c r="F14" s="413">
        <f t="shared" si="2"/>
        <v>260.12531999999999</v>
      </c>
      <c r="G14" s="210"/>
      <c r="H14"/>
      <c r="I14" s="31" t="s">
        <v>298</v>
      </c>
      <c r="J14">
        <v>892.77</v>
      </c>
      <c r="K14" s="441">
        <f t="shared" si="0"/>
        <v>1024.89996</v>
      </c>
      <c r="L14" s="29"/>
      <c r="M14" s="31">
        <v>959</v>
      </c>
      <c r="N14" s="399">
        <f t="shared" si="1"/>
        <v>159.83333333333334</v>
      </c>
      <c r="O14"/>
      <c r="P14"/>
      <c r="Q14" s="29"/>
      <c r="R14" s="81"/>
      <c r="S14"/>
      <c r="T14"/>
      <c r="U14"/>
      <c r="V14"/>
      <c r="W14"/>
      <c r="X14"/>
      <c r="Y14"/>
    </row>
    <row r="15" spans="1:26">
      <c r="A15" s="47" t="s">
        <v>137</v>
      </c>
      <c r="B15" s="41"/>
      <c r="C15" s="40"/>
      <c r="D15" s="29" t="s">
        <v>93</v>
      </c>
      <c r="F15" s="413"/>
      <c r="G15" s="29"/>
      <c r="H15" s="11"/>
      <c r="I15" s="31" t="s">
        <v>299</v>
      </c>
      <c r="J15">
        <v>250</v>
      </c>
      <c r="K15" s="441">
        <f t="shared" si="0"/>
        <v>287</v>
      </c>
      <c r="L15" s="7"/>
      <c r="M15" s="7">
        <v>484</v>
      </c>
      <c r="N15" s="399">
        <f t="shared" si="1"/>
        <v>80.666666666666671</v>
      </c>
      <c r="P15" s="29"/>
      <c r="Q15" s="7"/>
      <c r="R15" s="81"/>
      <c r="S15" s="7"/>
      <c r="T15" s="7"/>
      <c r="U15" s="7"/>
      <c r="V15" s="7"/>
      <c r="W15" s="7"/>
      <c r="X15" s="7"/>
      <c r="Y15" s="7"/>
      <c r="Z15" s="7"/>
    </row>
    <row r="16" spans="1:26" ht="14">
      <c r="A16" s="49" t="s">
        <v>300</v>
      </c>
      <c r="B16" s="42">
        <f>SUM(35*B2*13.54)</f>
        <v>52129</v>
      </c>
      <c r="C16" s="31" t="s">
        <v>27</v>
      </c>
      <c r="D16" s="11">
        <v>45306</v>
      </c>
      <c r="E16" s="11">
        <v>69604</v>
      </c>
      <c r="F16" s="413">
        <f t="shared" si="2"/>
        <v>79905.391999999993</v>
      </c>
      <c r="G16" s="210"/>
      <c r="H16" s="20"/>
      <c r="I16" s="29" t="s">
        <v>301</v>
      </c>
      <c r="J16">
        <v>99.2</v>
      </c>
      <c r="K16" s="441">
        <f t="shared" si="0"/>
        <v>113.88160000000001</v>
      </c>
      <c r="L16" s="7"/>
      <c r="M16" s="7">
        <v>19</v>
      </c>
      <c r="N16" s="399">
        <f t="shared" si="1"/>
        <v>3.1666666666666665</v>
      </c>
      <c r="P16" s="29"/>
      <c r="Q16" s="33"/>
      <c r="R16" s="81"/>
      <c r="S16" s="33"/>
      <c r="T16" s="33"/>
      <c r="U16" s="33"/>
      <c r="V16" s="33"/>
      <c r="W16" s="33"/>
      <c r="X16" s="33"/>
      <c r="Y16" s="33"/>
      <c r="Z16" s="33"/>
    </row>
    <row r="17" spans="1:26">
      <c r="A17" s="8" t="s">
        <v>302</v>
      </c>
      <c r="B17" s="42">
        <f>SUM(2.17,1.33)*(35*B2)</f>
        <v>13475</v>
      </c>
      <c r="C17" s="31" t="s">
        <v>27</v>
      </c>
      <c r="D17" s="11">
        <v>14478</v>
      </c>
      <c r="E17" s="11">
        <v>35885</v>
      </c>
      <c r="F17" s="413">
        <f t="shared" si="2"/>
        <v>41195.979999999996</v>
      </c>
      <c r="G17" s="210"/>
      <c r="H17" s="192"/>
      <c r="I17" s="31" t="s">
        <v>303</v>
      </c>
      <c r="J17">
        <v>99.2</v>
      </c>
      <c r="K17" s="441">
        <f t="shared" si="0"/>
        <v>113.88160000000001</v>
      </c>
      <c r="L17" s="29"/>
      <c r="M17" s="400">
        <v>2917</v>
      </c>
      <c r="N17" s="399">
        <f t="shared" si="1"/>
        <v>486.16666666666669</v>
      </c>
      <c r="Q17" s="29"/>
      <c r="R17" s="81"/>
    </row>
    <row r="18" spans="1:26">
      <c r="A18" s="8" t="s">
        <v>304</v>
      </c>
      <c r="B18" s="42">
        <f>SUM(35*B2*2.83)</f>
        <v>10895.5</v>
      </c>
      <c r="C18" s="31" t="s">
        <v>27</v>
      </c>
      <c r="D18" s="11">
        <f>SUM(35*B2*2.83)</f>
        <v>10895.5</v>
      </c>
      <c r="E18" s="11">
        <v>16586</v>
      </c>
      <c r="F18" s="413">
        <f t="shared" si="2"/>
        <v>19040.727999999999</v>
      </c>
      <c r="G18" s="210"/>
      <c r="H18" s="31"/>
      <c r="I18" s="31" t="s">
        <v>305</v>
      </c>
      <c r="K18" s="29"/>
      <c r="L18" s="31"/>
      <c r="M18" s="31"/>
      <c r="Q18" s="29"/>
    </row>
    <row r="19" spans="1:26" s="40" customFormat="1">
      <c r="A19" s="8">
        <f>IF(D1="Licensing/Star 2",(12*A20),IF(D1="Star 2+/3",(2+((12+2.5)*A20)),IF(D1="Star 4",(3+(12+2.5)*A20),IF(D1="Star 5",(4+(12+2.5)*A20),0))))/2080</f>
        <v>0</v>
      </c>
      <c r="B19" s="42"/>
      <c r="C19" s="31"/>
      <c r="D19"/>
      <c r="E19"/>
      <c r="F19" s="413"/>
      <c r="G19" s="29"/>
      <c r="H19" s="31"/>
      <c r="K19" s="29"/>
      <c r="N19"/>
      <c r="O19"/>
      <c r="P19" s="29"/>
      <c r="Q19" s="7"/>
      <c r="R19" s="7"/>
      <c r="S19" s="7"/>
      <c r="T19" s="7"/>
      <c r="U19" s="7"/>
      <c r="V19" s="7"/>
      <c r="W19" s="7"/>
      <c r="X19" s="7"/>
      <c r="Y19" s="7"/>
      <c r="Z19" s="107"/>
    </row>
    <row r="20" spans="1:26">
      <c r="A20" s="47">
        <f>SUM(A16:A18)</f>
        <v>0</v>
      </c>
      <c r="B20" s="82"/>
      <c r="C20" s="83"/>
      <c r="E20" s="11"/>
      <c r="F20" s="413"/>
      <c r="G20" s="29"/>
      <c r="H20" s="7"/>
      <c r="I20" s="31" t="s">
        <v>306</v>
      </c>
      <c r="J20" s="31">
        <v>11903.64</v>
      </c>
      <c r="K20" s="441">
        <f t="shared" ref="K20:K24" si="3">SUM(J20,(J20*$K$2))</f>
        <v>13665.378719999999</v>
      </c>
      <c r="L20" s="31">
        <f>927.28*12</f>
        <v>11127.36</v>
      </c>
      <c r="M20">
        <v>11164</v>
      </c>
      <c r="P20" s="2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8" t="s">
        <v>307</v>
      </c>
      <c r="B21" s="42">
        <f>SUM(992,49.6)*B2</f>
        <v>114575.99999999999</v>
      </c>
      <c r="C21" s="7"/>
      <c r="E21" s="11">
        <v>618.04</v>
      </c>
      <c r="F21" s="413">
        <f>SUM(B21,(B21*$F$2))</f>
        <v>131533.24799999999</v>
      </c>
      <c r="G21" s="210"/>
      <c r="H21" s="7"/>
      <c r="I21" s="31" t="s">
        <v>290</v>
      </c>
      <c r="J21" s="31">
        <v>669.58</v>
      </c>
      <c r="K21" s="441">
        <f t="shared" si="3"/>
        <v>768.67784000000006</v>
      </c>
      <c r="L21" s="7"/>
      <c r="M21" s="173">
        <v>571</v>
      </c>
      <c r="R21" s="81"/>
    </row>
    <row r="22" spans="1:26">
      <c r="A22" s="8" t="s">
        <v>308</v>
      </c>
      <c r="B22" s="42">
        <f>SUM(100)*B2</f>
        <v>11000</v>
      </c>
      <c r="C22" s="7"/>
      <c r="E22" s="11">
        <v>482.67</v>
      </c>
      <c r="F22" s="413">
        <f t="shared" ref="F22:F26" si="4">SUM(B22,(B22*$F$2))</f>
        <v>12628</v>
      </c>
      <c r="G22" s="210"/>
      <c r="H22" s="191"/>
      <c r="I22" s="31" t="s">
        <v>309</v>
      </c>
      <c r="J22" s="31">
        <v>495.99</v>
      </c>
      <c r="K22" s="441">
        <f t="shared" si="3"/>
        <v>569.39652000000001</v>
      </c>
      <c r="L22" s="7"/>
      <c r="M22" s="173">
        <v>6300</v>
      </c>
      <c r="R22" s="81"/>
    </row>
    <row r="23" spans="1:26">
      <c r="A23" s="8" t="s">
        <v>310</v>
      </c>
      <c r="B23" s="42">
        <f>22*B2</f>
        <v>2420</v>
      </c>
      <c r="C23" s="31"/>
      <c r="E23" s="11">
        <v>71.38</v>
      </c>
      <c r="F23" s="413">
        <f t="shared" si="4"/>
        <v>2778.16</v>
      </c>
      <c r="G23" s="210"/>
      <c r="H23" s="31"/>
      <c r="I23" s="7" t="s">
        <v>311</v>
      </c>
      <c r="J23" s="7">
        <v>1785.55</v>
      </c>
      <c r="K23" s="441">
        <f t="shared" si="3"/>
        <v>2049.8114</v>
      </c>
      <c r="L23" s="29">
        <f>586.24*12</f>
        <v>7034.88</v>
      </c>
      <c r="M23">
        <v>3474</v>
      </c>
      <c r="P23" s="25"/>
    </row>
    <row r="24" spans="1:26">
      <c r="A24" s="8" t="s">
        <v>312</v>
      </c>
      <c r="B24" s="42">
        <f>50*B2</f>
        <v>5500</v>
      </c>
      <c r="C24" s="31"/>
      <c r="E24" s="11">
        <v>47.77</v>
      </c>
      <c r="F24" s="413">
        <f t="shared" si="4"/>
        <v>6314</v>
      </c>
      <c r="G24" s="210"/>
      <c r="H24" s="31"/>
      <c r="I24" s="7" t="s">
        <v>313</v>
      </c>
      <c r="J24" s="7">
        <v>238.07</v>
      </c>
      <c r="K24" s="441">
        <f t="shared" si="3"/>
        <v>273.30435999999997</v>
      </c>
      <c r="L24" s="29"/>
      <c r="M24">
        <v>1519</v>
      </c>
      <c r="P24" s="25"/>
    </row>
    <row r="25" spans="1:26">
      <c r="A25" s="8" t="s">
        <v>314</v>
      </c>
      <c r="B25" s="42">
        <f>24*B2</f>
        <v>2640</v>
      </c>
      <c r="C25" s="31"/>
      <c r="F25" s="413">
        <f>SUM(B25,(B25*$F$2))</f>
        <v>3030.72</v>
      </c>
      <c r="G25" s="210"/>
      <c r="H25" s="31"/>
      <c r="I25" s="181" t="s">
        <v>93</v>
      </c>
      <c r="J25" s="31">
        <f>SUM(J20:J24)</f>
        <v>15092.829999999998</v>
      </c>
      <c r="K25" s="31">
        <f>SUM(K20:K24)</f>
        <v>17326.568839999996</v>
      </c>
      <c r="L25" s="25">
        <f>SUM(L20,J21:J22,L23,J24)</f>
        <v>19565.88</v>
      </c>
      <c r="M25" s="31">
        <f>SUM(M20:M24)</f>
        <v>23028</v>
      </c>
      <c r="P25" s="25"/>
    </row>
    <row r="26" spans="1:26">
      <c r="A26" s="8" t="s">
        <v>283</v>
      </c>
      <c r="B26" s="98">
        <f>24.8*B2</f>
        <v>2728</v>
      </c>
      <c r="C26" s="31"/>
      <c r="F26" s="413">
        <f t="shared" si="4"/>
        <v>3131.7440000000001</v>
      </c>
      <c r="G26" s="210"/>
      <c r="H26" s="7"/>
    </row>
    <row r="27" spans="1:26">
      <c r="A27" s="285">
        <f>SUM(E7:E10)*F13</f>
        <v>1798557.6945055998</v>
      </c>
      <c r="B27" s="42"/>
      <c r="C27" s="7"/>
      <c r="E27" s="11"/>
      <c r="F27" s="413"/>
      <c r="H27" s="7"/>
      <c r="I27" s="174" t="s">
        <v>315</v>
      </c>
      <c r="J27" s="175">
        <v>75</v>
      </c>
      <c r="K27" s="175">
        <f>J27</f>
        <v>75</v>
      </c>
      <c r="L27" s="175">
        <v>75</v>
      </c>
      <c r="M27">
        <v>75</v>
      </c>
    </row>
    <row r="28" spans="1:26">
      <c r="A28" s="8">
        <f>(IF(E1="Licensing/Star 2",0,
IF(E1="Star 2+/3",SUM(2,(2.5*A23+A25)),
IF(E1="Star 4",SUM(3,(2.5*SUM(A23:A26))),
IF(E1="Star 5",SUM(4,(3.5*SUM(A23:A26))))))))*52/2080</f>
        <v>0</v>
      </c>
      <c r="B28" s="42"/>
      <c r="C28" s="7"/>
      <c r="E28" s="342">
        <f>F61</f>
        <v>417.04314182194616</v>
      </c>
      <c r="F28" s="413"/>
      <c r="H28" s="180"/>
      <c r="I28" s="176" t="s">
        <v>316</v>
      </c>
      <c r="J28" s="177">
        <v>1200</v>
      </c>
      <c r="K28" s="175">
        <f t="shared" ref="K28:K29" si="5">J28</f>
        <v>1200</v>
      </c>
      <c r="L28" s="177">
        <v>1200</v>
      </c>
      <c r="M28">
        <v>1200</v>
      </c>
    </row>
    <row r="29" spans="1:26" s="40" customFormat="1">
      <c r="A29" s="8"/>
      <c r="B29" s="42"/>
      <c r="C29" s="31"/>
      <c r="D29"/>
      <c r="E29"/>
      <c r="F29" s="413"/>
      <c r="G29"/>
      <c r="H29" s="31"/>
      <c r="I29" s="176" t="s">
        <v>317</v>
      </c>
      <c r="J29" s="177">
        <v>2400</v>
      </c>
      <c r="K29" s="175">
        <f t="shared" si="5"/>
        <v>2400</v>
      </c>
      <c r="L29" s="177">
        <v>2400</v>
      </c>
      <c r="M29" s="31">
        <v>2400</v>
      </c>
      <c r="N29"/>
      <c r="O29"/>
      <c r="P29"/>
      <c r="Q29"/>
      <c r="R29"/>
      <c r="S29"/>
      <c r="T29"/>
      <c r="U29"/>
      <c r="V29"/>
      <c r="W29"/>
    </row>
    <row r="30" spans="1:26">
      <c r="A30" s="47" t="s">
        <v>318</v>
      </c>
      <c r="B30" s="41"/>
      <c r="C30" s="83"/>
      <c r="F30" s="413"/>
      <c r="H30" s="31"/>
      <c r="I30" s="178" t="s">
        <v>319</v>
      </c>
      <c r="J30" s="179">
        <f>SUM(J27/(24*7)*(J28/J29))</f>
        <v>0.22321428571428573</v>
      </c>
      <c r="K30" s="179">
        <f>SUM(K27/(24*7)*(K28/K29))</f>
        <v>0.22321428571428573</v>
      </c>
      <c r="L30" s="179">
        <f>SUM(L27/(24*7)*(L28/L29))</f>
        <v>0.22321428571428573</v>
      </c>
      <c r="M30" s="179">
        <f>SUM(M27/(24*7)*(M28/M29))</f>
        <v>0.22321428571428573</v>
      </c>
    </row>
    <row r="31" spans="1:26">
      <c r="A31" s="8" t="s">
        <v>320</v>
      </c>
      <c r="C31" s="31"/>
      <c r="F31" s="413">
        <f t="shared" ref="F31:F33" si="6">SUM(E31,(E31*$F$2))</f>
        <v>0</v>
      </c>
      <c r="G31" s="210"/>
      <c r="H31" s="31"/>
      <c r="I31" s="31"/>
      <c r="J31" s="31"/>
      <c r="K31" s="31"/>
      <c r="L31" s="65"/>
      <c r="M31" s="31"/>
    </row>
    <row r="32" spans="1:26">
      <c r="A32" s="8" t="s">
        <v>299</v>
      </c>
      <c r="B32" s="42">
        <f>200*'Quality Center Profile'!E12</f>
        <v>2000</v>
      </c>
      <c r="C32" s="31"/>
      <c r="E32">
        <v>82.37</v>
      </c>
      <c r="F32" s="413">
        <f>SUM(B32,(B32*$F$2))</f>
        <v>2296</v>
      </c>
      <c r="G32" s="210"/>
      <c r="H32" s="31"/>
      <c r="I32" s="31" t="s">
        <v>321</v>
      </c>
      <c r="J32" s="31">
        <f>SUM(J4:J18)</f>
        <v>8821.590000000002</v>
      </c>
      <c r="K32" s="31">
        <f>SUM(K4:K18)</f>
        <v>10127.185320000002</v>
      </c>
      <c r="L32" s="31">
        <f>SUM(L4:L17)</f>
        <v>0</v>
      </c>
      <c r="M32" s="31">
        <f>SUM(M4:M18)</f>
        <v>48720</v>
      </c>
    </row>
    <row r="33" spans="1:16">
      <c r="A33" s="8"/>
      <c r="B33" s="39"/>
      <c r="C33" s="31"/>
      <c r="E33">
        <v>15.65</v>
      </c>
      <c r="F33" s="413">
        <f t="shared" si="6"/>
        <v>17.966200000000001</v>
      </c>
      <c r="G33" s="210"/>
      <c r="H33" s="31"/>
      <c r="I33" s="31" t="s">
        <v>322</v>
      </c>
      <c r="J33" s="31">
        <f>J25*J30</f>
        <v>3368.9352678571427</v>
      </c>
      <c r="K33" s="31">
        <f>K25*K30</f>
        <v>3867.5376874999993</v>
      </c>
      <c r="L33" s="31">
        <f>L25*L30</f>
        <v>4367.3839285714294</v>
      </c>
      <c r="M33" s="31">
        <f>M25*M30</f>
        <v>5140.1785714285716</v>
      </c>
    </row>
    <row r="34" spans="1:16">
      <c r="A34" s="5"/>
      <c r="B34" s="39"/>
      <c r="C34" s="31"/>
      <c r="E34">
        <f>24*(A29-A20-A27-A28)</f>
        <v>-43165384.668134391</v>
      </c>
      <c r="F34" s="409"/>
      <c r="H34" s="25"/>
      <c r="I34" s="16"/>
      <c r="J34" s="16"/>
      <c r="K34" s="16"/>
      <c r="L34" s="16"/>
      <c r="M34" s="16"/>
    </row>
    <row r="35" spans="1:16">
      <c r="A35" s="6" t="s">
        <v>323</v>
      </c>
      <c r="B35" s="43">
        <f>SUM(B6:B33)</f>
        <v>233747.5</v>
      </c>
      <c r="C35" s="43">
        <f>SUM(B7:B10,B16:B18)</f>
        <v>89583.5</v>
      </c>
      <c r="F35" s="409"/>
      <c r="H35" s="11"/>
      <c r="I35" s="15" t="s">
        <v>324</v>
      </c>
      <c r="J35" s="11">
        <f>SUM(J32:J33)</f>
        <v>12190.525267857145</v>
      </c>
      <c r="K35" s="11">
        <f>SUM(K32:K33)</f>
        <v>13994.723007500001</v>
      </c>
      <c r="L35" s="11"/>
      <c r="M35" s="11"/>
    </row>
    <row r="36" spans="1:16">
      <c r="A36" s="29" t="s">
        <v>325</v>
      </c>
      <c r="B36" s="44">
        <f>B35/B3</f>
        <v>46749.5</v>
      </c>
      <c r="C36" s="112">
        <f>C35/B35</f>
        <v>0.38324901870608241</v>
      </c>
      <c r="F36" s="409"/>
      <c r="H36" s="11"/>
      <c r="I36" s="11"/>
      <c r="J36" s="11"/>
      <c r="K36" s="11"/>
      <c r="L36" s="11"/>
      <c r="M36" s="11"/>
    </row>
    <row r="37" spans="1:16" ht="14" thickBot="1">
      <c r="A37" s="29" t="s">
        <v>223</v>
      </c>
      <c r="B37" s="44">
        <f>B35/B2</f>
        <v>2124.9772727272725</v>
      </c>
      <c r="C37" s="11"/>
      <c r="F37" s="409"/>
      <c r="H37" s="29"/>
      <c r="I37" s="29"/>
      <c r="J37" s="29"/>
      <c r="K37" s="29"/>
      <c r="M37" s="12"/>
      <c r="N37" s="12"/>
    </row>
    <row r="38" spans="1:16" ht="15" thickTop="1" thickBot="1">
      <c r="C38" s="29"/>
      <c r="F38" s="409"/>
      <c r="G38" s="439"/>
      <c r="H38" s="29"/>
      <c r="I38" s="53" t="s">
        <v>326</v>
      </c>
      <c r="J38" s="54">
        <f>SUM((SUM(J4,J5,J6,J7,J8,J9,J10,J11,J14,J16,J17)/6)*F2,SUM(J4,J5,J6,J7,J8,J9,J10,J11,J14,J16,J17)/6)</f>
        <v>643.59558666666658</v>
      </c>
      <c r="K38" s="54">
        <f>SUM((SUM(K4,K5,K6,K7,K8,K9,K10,K11,K14,K16,K17)/6)*G2,SUM(K4,K5,K6,K7,K8,K9,K10,K11,K14,K16,K17)/6)</f>
        <v>643.59558666666669</v>
      </c>
      <c r="L38" s="12">
        <f>M38/6</f>
        <v>386.17416666666668</v>
      </c>
      <c r="M38" s="54">
        <f>SUM(M4,M5,M6,M7,M8,M9,M10,M14,M16,J17,J11)/6</f>
        <v>2317.0450000000001</v>
      </c>
      <c r="N38" s="54"/>
      <c r="P38" s="28"/>
    </row>
    <row r="39" spans="1:16" ht="14" thickTop="1">
      <c r="A39" s="53" t="s">
        <v>327</v>
      </c>
      <c r="B39" s="54">
        <f>SUM(B6:B10)/B2</f>
        <v>148.94545454545454</v>
      </c>
      <c r="C39" s="31">
        <f>B39*80</f>
        <v>11915.636363636364</v>
      </c>
      <c r="E39" s="203">
        <f>SUM(E6:E14)/E2</f>
        <v>105.26046153846154</v>
      </c>
      <c r="F39" s="414">
        <f>SUM(F6:F14)/E2</f>
        <v>120.83900984615384</v>
      </c>
      <c r="G39" s="440"/>
      <c r="H39" s="29"/>
      <c r="I39" s="55" t="s">
        <v>137</v>
      </c>
      <c r="J39" s="56">
        <f>SUM((L33/6)*F2,(L33/6))</f>
        <v>835.62612500000012</v>
      </c>
      <c r="K39" s="56">
        <f>SUM((M33/6)*K2,(M33/6))</f>
        <v>983.48749999999995</v>
      </c>
      <c r="L39" s="12">
        <f>J39*12</f>
        <v>10027.513500000001</v>
      </c>
      <c r="M39" s="57">
        <f>SUM((M33*F2),M33)</f>
        <v>5900.9250000000002</v>
      </c>
      <c r="N39" s="12"/>
      <c r="P39" s="28"/>
    </row>
    <row r="40" spans="1:16">
      <c r="A40" s="55" t="s">
        <v>328</v>
      </c>
      <c r="B40" s="56" cm="1">
        <f t="array" ref="B40">SUM((B16:B18)/B3)</f>
        <v>15299.9</v>
      </c>
      <c r="C40" s="31">
        <f>B40*4</f>
        <v>61199.6</v>
      </c>
      <c r="D40" s="203">
        <f>SUM(D16:D18)/D3</f>
        <v>13618.400770712908</v>
      </c>
      <c r="E40" s="203">
        <f>SUM(E16:E18)/E3</f>
        <v>20345.833333333332</v>
      </c>
      <c r="F40" s="414">
        <f>SUM(F16:F18)/E3</f>
        <v>23357.016666666663</v>
      </c>
      <c r="G40" s="440"/>
      <c r="H40" s="29"/>
      <c r="I40" s="55" t="s">
        <v>329</v>
      </c>
      <c r="J40" s="57">
        <f>SUM((SUM(J13,J12,J15)/6)*F2,((SUM(J13,J12,J15)/6)))</f>
        <v>1044.2686333333334</v>
      </c>
      <c r="K40" s="57">
        <f>SUM((SUM(K13,K12,K15)/6)*K2,((SUM(K13,K12,K15)/6)))</f>
        <v>1198.8203910666666</v>
      </c>
      <c r="L40" s="12">
        <f>J40*12</f>
        <v>12531.223600000001</v>
      </c>
      <c r="M40" s="57">
        <f>SUM(M13,M12,M15)</f>
        <v>22402</v>
      </c>
      <c r="N40" s="12"/>
      <c r="P40" s="28"/>
    </row>
    <row r="41" spans="1:16" ht="14" thickBot="1">
      <c r="A41" s="55" t="s">
        <v>330</v>
      </c>
      <c r="B41" s="417">
        <f>SUM(B21:B26,B32)/B2</f>
        <v>1280.5818181818181</v>
      </c>
      <c r="C41" s="31">
        <f>B41*80</f>
        <v>102446.54545454544</v>
      </c>
      <c r="E41" s="76">
        <f>SUM(E21:E27,E31:E33)</f>
        <v>1317.88</v>
      </c>
      <c r="F41" s="414">
        <f>SUM(F21:F26,F31:F33)/B2</f>
        <v>1470.2712563636364</v>
      </c>
      <c r="G41" s="440"/>
      <c r="I41" s="58"/>
      <c r="J41" s="59" t="s">
        <v>331</v>
      </c>
      <c r="K41" s="415"/>
      <c r="M41" s="59"/>
      <c r="N41" s="12"/>
    </row>
    <row r="42" spans="1:16" ht="15" thickTop="1" thickBot="1">
      <c r="A42" s="58"/>
      <c r="B42" s="59" t="s">
        <v>332</v>
      </c>
      <c r="F42" s="409"/>
      <c r="M42" s="25">
        <f>M40-M15</f>
        <v>21918</v>
      </c>
    </row>
    <row r="43" spans="1:16" ht="14" thickTop="1">
      <c r="A43" s="29"/>
      <c r="M43" s="20"/>
      <c r="N43" s="20"/>
    </row>
    <row r="44" spans="1:16">
      <c r="A44" s="29"/>
      <c r="B44" s="20"/>
      <c r="C44">
        <v>1325</v>
      </c>
      <c r="D44">
        <f>C44*14.8%</f>
        <v>196.10000000000002</v>
      </c>
      <c r="E44">
        <f>SUM(C44:D44)</f>
        <v>1521.1</v>
      </c>
      <c r="I44">
        <f>250/6</f>
        <v>41.666666666666664</v>
      </c>
    </row>
    <row r="45" spans="1:16">
      <c r="A45" s="29"/>
      <c r="B45" s="44"/>
      <c r="J45" s="25">
        <f>J40*6-J15</f>
        <v>6015.6118000000006</v>
      </c>
      <c r="K45" s="25"/>
    </row>
    <row r="46" spans="1:16" ht="14" thickBot="1">
      <c r="A46" s="29"/>
      <c r="B46" s="44"/>
      <c r="C46" s="29"/>
      <c r="H46" s="30"/>
      <c r="J46" s="12">
        <f>J45/6</f>
        <v>1002.6019666666667</v>
      </c>
      <c r="K46" s="12"/>
    </row>
    <row r="47" spans="1:16" ht="14" thickBot="1">
      <c r="A47" s="29"/>
      <c r="B47" s="44"/>
      <c r="H47" s="25"/>
      <c r="I47" s="108"/>
      <c r="J47" s="111"/>
      <c r="K47" s="2"/>
    </row>
    <row r="48" spans="1:16">
      <c r="A48" s="108"/>
      <c r="B48" s="111"/>
      <c r="H48" s="25"/>
      <c r="I48" s="182"/>
      <c r="J48" s="110"/>
      <c r="K48" s="7"/>
    </row>
    <row r="49" spans="1:13">
      <c r="A49" s="109" t="s">
        <v>333</v>
      </c>
      <c r="B49" s="110">
        <f>'VariablesINPUT-CTR'!D32*'VariablesINPUT-CTR'!F32*12</f>
        <v>0</v>
      </c>
      <c r="H49" s="25"/>
      <c r="I49" s="182"/>
      <c r="J49" s="183"/>
      <c r="K49" s="416"/>
      <c r="L49" s="29"/>
    </row>
    <row r="50" spans="1:13" ht="28" customHeight="1">
      <c r="A50" s="109" t="s">
        <v>334</v>
      </c>
      <c r="B50" s="110">
        <f>'VariablesINPUT-CTR'!D33*B3*12</f>
        <v>0</v>
      </c>
      <c r="I50" s="624"/>
      <c r="J50" s="625"/>
      <c r="K50" s="625"/>
      <c r="L50" s="625"/>
      <c r="M50" s="625"/>
    </row>
    <row r="51" spans="1:13" ht="14" thickBot="1">
      <c r="A51" s="241"/>
      <c r="B51" s="242"/>
    </row>
    <row r="52" spans="1:13">
      <c r="A52" s="29"/>
      <c r="B52" s="44"/>
    </row>
    <row r="54" spans="1:13" ht="14" thickBot="1">
      <c r="A54" s="29"/>
    </row>
    <row r="55" spans="1:13">
      <c r="A55" s="425" t="s">
        <v>429</v>
      </c>
      <c r="B55" s="426"/>
      <c r="C55" s="427"/>
      <c r="D55" s="427"/>
      <c r="E55" s="427"/>
      <c r="F55" s="427"/>
      <c r="G55" s="428"/>
    </row>
    <row r="56" spans="1:13">
      <c r="A56" s="429"/>
      <c r="B56" s="39" t="s">
        <v>335</v>
      </c>
      <c r="D56" s="29" t="s">
        <v>281</v>
      </c>
      <c r="E56" s="29" t="s">
        <v>336</v>
      </c>
      <c r="F56" s="29" t="s">
        <v>337</v>
      </c>
      <c r="G56" s="430"/>
    </row>
    <row r="57" spans="1:13">
      <c r="A57" s="429" t="s">
        <v>338</v>
      </c>
      <c r="B57" s="38">
        <v>5435</v>
      </c>
      <c r="D57">
        <v>70</v>
      </c>
      <c r="E57">
        <v>21</v>
      </c>
      <c r="F57" s="431">
        <f>B57/E57</f>
        <v>258.8095238095238</v>
      </c>
      <c r="G57" s="430"/>
    </row>
    <row r="58" spans="1:13">
      <c r="A58" s="432"/>
      <c r="B58" s="38">
        <v>9446</v>
      </c>
      <c r="D58">
        <v>60</v>
      </c>
      <c r="E58">
        <v>20</v>
      </c>
      <c r="F58" s="431">
        <f>B58/E58</f>
        <v>472.3</v>
      </c>
      <c r="G58" s="430"/>
    </row>
    <row r="59" spans="1:13">
      <c r="A59" s="432"/>
      <c r="B59" s="38">
        <v>8983</v>
      </c>
      <c r="D59">
        <v>60</v>
      </c>
      <c r="E59">
        <v>20</v>
      </c>
      <c r="F59" s="431">
        <f>B59/E59</f>
        <v>449.15</v>
      </c>
      <c r="G59" s="430"/>
    </row>
    <row r="60" spans="1:13">
      <c r="A60" s="432"/>
      <c r="B60" s="38">
        <v>11222</v>
      </c>
      <c r="D60">
        <v>63</v>
      </c>
      <c r="E60">
        <v>23</v>
      </c>
      <c r="F60" s="431">
        <f>B60/E60</f>
        <v>487.91304347826087</v>
      </c>
      <c r="G60" s="430"/>
    </row>
    <row r="61" spans="1:13" ht="14" thickBot="1">
      <c r="A61" s="433"/>
      <c r="B61" s="434">
        <f>AVERAGE(B57:B60)</f>
        <v>8771.5</v>
      </c>
      <c r="C61" s="435"/>
      <c r="D61" s="435"/>
      <c r="E61" s="435"/>
      <c r="F61" s="434">
        <f>AVERAGE(F57:F60)</f>
        <v>417.04314182194616</v>
      </c>
      <c r="G61" s="230">
        <f>SUM(F61,(F61*F2))</f>
        <v>478.76552681159421</v>
      </c>
    </row>
  </sheetData>
  <mergeCells count="1">
    <mergeCell ref="I50:M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28"/>
  <sheetViews>
    <sheetView workbookViewId="0">
      <selection activeCell="F64" sqref="F64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21.33203125" customWidth="1"/>
  </cols>
  <sheetData>
    <row r="1" spans="1:7">
      <c r="A1" s="29" t="s">
        <v>225</v>
      </c>
      <c r="B1" s="29" t="s">
        <v>415</v>
      </c>
      <c r="C1" s="29" t="s">
        <v>339</v>
      </c>
      <c r="G1" s="29" t="s">
        <v>417</v>
      </c>
    </row>
    <row r="2" spans="1:7">
      <c r="A2" t="s">
        <v>340</v>
      </c>
      <c r="B2" s="29" t="s">
        <v>341</v>
      </c>
      <c r="C2" s="29" t="s">
        <v>1</v>
      </c>
      <c r="D2" t="s">
        <v>3</v>
      </c>
      <c r="E2" t="s">
        <v>4</v>
      </c>
      <c r="G2" s="22" t="s">
        <v>416</v>
      </c>
    </row>
    <row r="3" spans="1:7">
      <c r="A3" t="s">
        <v>342</v>
      </c>
      <c r="B3">
        <v>880</v>
      </c>
      <c r="C3">
        <f>SUM(B3,100)</f>
        <v>980</v>
      </c>
      <c r="D3">
        <f>SUM(B3,335)</f>
        <v>1215</v>
      </c>
      <c r="E3">
        <f>SUM(B3,640)</f>
        <v>1520</v>
      </c>
    </row>
    <row r="4" spans="1:7">
      <c r="A4" s="29" t="s">
        <v>343</v>
      </c>
      <c r="B4">
        <v>635</v>
      </c>
      <c r="C4">
        <f>SUM(B4,100)</f>
        <v>735</v>
      </c>
      <c r="D4">
        <f>SUM(B4,290)</f>
        <v>925</v>
      </c>
      <c r="E4">
        <f>SUM(B4,550)</f>
        <v>1185</v>
      </c>
      <c r="G4" s="29"/>
    </row>
    <row r="5" spans="1:7">
      <c r="A5" s="29" t="s">
        <v>155</v>
      </c>
      <c r="B5">
        <v>575</v>
      </c>
      <c r="C5">
        <f>SUM(B5,100)</f>
        <v>675</v>
      </c>
      <c r="D5">
        <f>SUM(B5,250)</f>
        <v>825</v>
      </c>
      <c r="E5">
        <f>SUM(B5,350)</f>
        <v>925</v>
      </c>
    </row>
    <row r="6" spans="1:7">
      <c r="A6" s="29" t="s">
        <v>156</v>
      </c>
      <c r="B6">
        <v>575</v>
      </c>
      <c r="C6">
        <f>SUM(B6,100)</f>
        <v>675</v>
      </c>
      <c r="D6">
        <f>SUM(B6,250)</f>
        <v>825</v>
      </c>
      <c r="E6">
        <f>SUM(B6,350)</f>
        <v>925</v>
      </c>
    </row>
    <row r="7" spans="1:7">
      <c r="A7" s="29" t="s">
        <v>10</v>
      </c>
      <c r="B7" s="17">
        <v>441</v>
      </c>
      <c r="C7" s="17">
        <f>SUM(B7,100)</f>
        <v>541</v>
      </c>
      <c r="D7" s="17">
        <f>SUM(B7,180)</f>
        <v>621</v>
      </c>
      <c r="E7" s="17">
        <f>SUM(B7,250)</f>
        <v>691</v>
      </c>
      <c r="G7" s="29"/>
    </row>
    <row r="9" spans="1:7">
      <c r="A9" s="29" t="s">
        <v>232</v>
      </c>
    </row>
    <row r="10" spans="1:7">
      <c r="A10" t="s">
        <v>340</v>
      </c>
      <c r="B10" s="29" t="s">
        <v>341</v>
      </c>
      <c r="C10" s="29" t="s">
        <v>1</v>
      </c>
      <c r="D10" t="s">
        <v>3</v>
      </c>
      <c r="E10" t="s">
        <v>4</v>
      </c>
      <c r="G10" s="28"/>
    </row>
    <row r="11" spans="1:7">
      <c r="A11" t="s">
        <v>342</v>
      </c>
      <c r="B11">
        <v>875</v>
      </c>
      <c r="C11">
        <f>SUM(B11,130)</f>
        <v>1005</v>
      </c>
      <c r="D11">
        <f>SUM(B11,195)</f>
        <v>1070</v>
      </c>
      <c r="E11">
        <f>SUM(B11,260)</f>
        <v>1135</v>
      </c>
      <c r="G11" s="28"/>
    </row>
    <row r="12" spans="1:7">
      <c r="A12" s="29" t="s">
        <v>343</v>
      </c>
      <c r="B12">
        <v>850</v>
      </c>
      <c r="C12">
        <f>SUM(B12,130)</f>
        <v>980</v>
      </c>
      <c r="D12">
        <f>SUM(B12,195)</f>
        <v>1045</v>
      </c>
      <c r="E12">
        <f>SUM(B12,260)</f>
        <v>1110</v>
      </c>
      <c r="G12" s="28"/>
    </row>
    <row r="13" spans="1:7">
      <c r="A13" s="29" t="s">
        <v>155</v>
      </c>
      <c r="B13">
        <v>700</v>
      </c>
      <c r="C13">
        <f>SUM(B13,130)</f>
        <v>830</v>
      </c>
      <c r="D13">
        <f>SUM(B13,195)</f>
        <v>895</v>
      </c>
      <c r="E13">
        <f>SUM(B13,260)</f>
        <v>960</v>
      </c>
      <c r="G13" s="28"/>
    </row>
    <row r="14" spans="1:7">
      <c r="A14" s="29" t="s">
        <v>156</v>
      </c>
      <c r="B14">
        <v>700</v>
      </c>
      <c r="C14">
        <f>SUM(B14,130)</f>
        <v>830</v>
      </c>
      <c r="D14">
        <f>SUM(B14,180)</f>
        <v>880</v>
      </c>
      <c r="E14">
        <f>SUM(B14,260)</f>
        <v>960</v>
      </c>
    </row>
    <row r="15" spans="1:7">
      <c r="A15" s="29" t="s">
        <v>10</v>
      </c>
      <c r="B15" s="17">
        <v>412</v>
      </c>
      <c r="C15" s="17">
        <f>SUM(B15,100)</f>
        <v>512</v>
      </c>
      <c r="D15" s="17">
        <f>SUM(B15,180)</f>
        <v>592</v>
      </c>
      <c r="E15" s="17">
        <f>SUM(B15,250)</f>
        <v>662</v>
      </c>
    </row>
    <row r="18" spans="1:5">
      <c r="A18" s="29" t="s">
        <v>344</v>
      </c>
    </row>
    <row r="19" spans="1:5">
      <c r="A19" t="s">
        <v>340</v>
      </c>
      <c r="B19" s="29" t="s">
        <v>341</v>
      </c>
      <c r="C19" s="29" t="s">
        <v>1</v>
      </c>
      <c r="D19" t="s">
        <v>3</v>
      </c>
      <c r="E19" t="s">
        <v>4</v>
      </c>
    </row>
    <row r="20" spans="1:5">
      <c r="A20" t="s">
        <v>342</v>
      </c>
      <c r="B20">
        <v>855</v>
      </c>
      <c r="C20">
        <f>SUM(B20,130)</f>
        <v>985</v>
      </c>
      <c r="D20">
        <f>SUM(B20,195)</f>
        <v>1050</v>
      </c>
      <c r="E20">
        <f>SUM(B20,260)</f>
        <v>1115</v>
      </c>
    </row>
    <row r="21" spans="1:5">
      <c r="A21" s="29" t="s">
        <v>343</v>
      </c>
      <c r="B21">
        <v>830</v>
      </c>
      <c r="C21">
        <f>SUM(B21,130)</f>
        <v>960</v>
      </c>
      <c r="D21">
        <f>SUM(B21,195)</f>
        <v>1025</v>
      </c>
      <c r="E21">
        <f>SUM(B21,260)</f>
        <v>1090</v>
      </c>
    </row>
    <row r="22" spans="1:5">
      <c r="A22" s="29" t="s">
        <v>155</v>
      </c>
      <c r="B22">
        <v>680</v>
      </c>
      <c r="C22">
        <f>SUM(B22,130)</f>
        <v>810</v>
      </c>
      <c r="D22">
        <f>SUM(B22,195)</f>
        <v>875</v>
      </c>
      <c r="E22">
        <f>SUM(B22,260)</f>
        <v>940</v>
      </c>
    </row>
    <row r="23" spans="1:5">
      <c r="A23" s="29" t="s">
        <v>156</v>
      </c>
      <c r="B23">
        <v>680</v>
      </c>
      <c r="C23">
        <f>SUM(B23,130)</f>
        <v>810</v>
      </c>
      <c r="D23">
        <f>SUM(B23,180)</f>
        <v>860</v>
      </c>
      <c r="E23">
        <f>SUM(B23,260)</f>
        <v>940</v>
      </c>
    </row>
    <row r="24" spans="1:5">
      <c r="A24" s="29" t="s">
        <v>10</v>
      </c>
      <c r="B24" s="17">
        <v>428</v>
      </c>
      <c r="C24" s="17">
        <f>SUM(B24,100)</f>
        <v>528</v>
      </c>
      <c r="D24" s="17">
        <f>SUM(B24,180)</f>
        <v>608</v>
      </c>
      <c r="E24" s="17">
        <f>SUM(B24,250)</f>
        <v>678</v>
      </c>
    </row>
    <row r="25" spans="1:5">
      <c r="C25" s="17"/>
      <c r="D25" s="17"/>
      <c r="E25" s="17"/>
    </row>
    <row r="28" spans="1:5">
      <c r="B28" s="29"/>
    </row>
  </sheetData>
  <hyperlinks>
    <hyperlink ref="G2" r:id="rId1" xr:uid="{66C46F85-30AB-3849-82EC-DC831D24A71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4CF-491B-2840-ABFE-05EF661F8ECE}">
  <sheetPr codeName="Sheet9">
    <tabColor theme="5" tint="0.39997558519241921"/>
  </sheetPr>
  <dimension ref="A1:L108"/>
  <sheetViews>
    <sheetView workbookViewId="0">
      <selection activeCell="F64" sqref="F64"/>
    </sheetView>
  </sheetViews>
  <sheetFormatPr baseColWidth="10" defaultColWidth="7.5" defaultRowHeight="13"/>
  <cols>
    <col min="1" max="1" width="12.83203125" style="253" bestFit="1" customWidth="1"/>
    <col min="2" max="2" width="3.83203125" style="253" customWidth="1"/>
    <col min="3" max="3" width="14" style="253" customWidth="1"/>
    <col min="4" max="4" width="13.6640625" style="253" customWidth="1"/>
    <col min="5" max="6" width="10.6640625" style="253" customWidth="1"/>
    <col min="7" max="7" width="13.6640625" style="253" customWidth="1"/>
    <col min="8" max="8" width="11.1640625" style="253" bestFit="1" customWidth="1"/>
    <col min="9" max="9" width="13.1640625" style="253" bestFit="1" customWidth="1"/>
    <col min="10" max="12" width="11.1640625" style="253" bestFit="1" customWidth="1"/>
    <col min="13" max="17" width="9.83203125" style="253" bestFit="1" customWidth="1"/>
    <col min="18" max="19" width="15.5" style="253" bestFit="1" customWidth="1"/>
    <col min="20" max="20" width="17" style="253" bestFit="1" customWidth="1"/>
    <col min="21" max="21" width="15.83203125" style="253" bestFit="1" customWidth="1"/>
    <col min="22" max="22" width="15.5" style="253" bestFit="1" customWidth="1"/>
    <col min="23" max="16384" width="7.5" style="253"/>
  </cols>
  <sheetData>
    <row r="1" spans="1:12">
      <c r="C1" s="253" t="s">
        <v>81</v>
      </c>
      <c r="D1" s="301" t="s">
        <v>345</v>
      </c>
    </row>
    <row r="2" spans="1:12" ht="15">
      <c r="A2" s="254" t="s">
        <v>346</v>
      </c>
      <c r="B2" s="255"/>
      <c r="C2" s="255"/>
      <c r="D2" s="255"/>
      <c r="E2" s="255"/>
      <c r="F2" s="255"/>
      <c r="G2" s="255"/>
      <c r="I2" s="394" t="s">
        <v>347</v>
      </c>
    </row>
    <row r="3" spans="1:12" ht="15">
      <c r="A3" s="256" t="s">
        <v>5</v>
      </c>
      <c r="B3" s="256"/>
      <c r="C3" s="257" t="s">
        <v>342</v>
      </c>
      <c r="D3" s="257" t="s">
        <v>348</v>
      </c>
      <c r="E3" s="257" t="s">
        <v>155</v>
      </c>
      <c r="F3" s="257" t="s">
        <v>155</v>
      </c>
      <c r="G3" s="257" t="s">
        <v>10</v>
      </c>
    </row>
    <row r="4" spans="1:12" ht="15">
      <c r="A4" s="258" t="s">
        <v>349</v>
      </c>
      <c r="B4" s="258"/>
      <c r="C4" s="259">
        <f>SUM((C66*$C$63),C66)</f>
        <v>863.01</v>
      </c>
      <c r="D4" s="259">
        <f t="shared" ref="D4:E4" si="0">SUM((D66*$C$63),D66)</f>
        <v>864.125</v>
      </c>
      <c r="E4" s="259">
        <f t="shared" si="0"/>
        <v>839.59500000000003</v>
      </c>
      <c r="F4" s="259">
        <f t="shared" ref="F4" si="1">SUM((F66*$C$63),F66)</f>
        <v>839.59500000000003</v>
      </c>
      <c r="G4" s="259">
        <f>SUM((G66*$C$63),G66)</f>
        <v>1170.75</v>
      </c>
    </row>
    <row r="5" spans="1:12" ht="15">
      <c r="A5" s="258" t="s">
        <v>350</v>
      </c>
      <c r="B5" s="258"/>
      <c r="C5" s="259">
        <f>SUM((C73*$C$63),C73)</f>
        <v>623.28499999999997</v>
      </c>
      <c r="D5" s="259">
        <f t="shared" ref="D5:G5" si="2">SUM((D73*$C$63),D73)</f>
        <v>623.28499999999997</v>
      </c>
      <c r="E5" s="259">
        <f t="shared" si="2"/>
        <v>623.28499999999997</v>
      </c>
      <c r="F5" s="259">
        <f t="shared" ref="F5" si="3">SUM((F73*$C$63),F73)</f>
        <v>623.28499999999997</v>
      </c>
      <c r="G5" s="259">
        <f t="shared" si="2"/>
        <v>599.87</v>
      </c>
    </row>
    <row r="6" spans="1:12" ht="15">
      <c r="A6" s="258" t="s">
        <v>351</v>
      </c>
      <c r="B6" s="258"/>
      <c r="C6" s="259">
        <f>SUM((C80*$C$63),C80)</f>
        <v>719.17499999999995</v>
      </c>
      <c r="D6" s="259">
        <f t="shared" ref="D6:G6" si="4">SUM((D80*$C$63),D80)</f>
        <v>743.70500000000004</v>
      </c>
      <c r="E6" s="259">
        <f t="shared" si="4"/>
        <v>723.63499999999999</v>
      </c>
      <c r="F6" s="259">
        <f t="shared" ref="F6" si="5">SUM((F80*$C$63),F80)</f>
        <v>723.63499999999999</v>
      </c>
      <c r="G6" s="259">
        <f t="shared" si="4"/>
        <v>665.65499999999997</v>
      </c>
    </row>
    <row r="7" spans="1:12" ht="15">
      <c r="A7" s="255"/>
      <c r="B7" s="255"/>
      <c r="C7" s="255"/>
      <c r="D7" s="255"/>
      <c r="E7" s="255"/>
      <c r="F7" s="255"/>
      <c r="G7" s="255"/>
    </row>
    <row r="8" spans="1:12" ht="15">
      <c r="A8" s="254" t="s">
        <v>352</v>
      </c>
      <c r="B8" s="255"/>
      <c r="C8" s="255" t="s">
        <v>353</v>
      </c>
      <c r="D8" s="255"/>
      <c r="E8" s="255"/>
      <c r="F8" s="255"/>
      <c r="G8" s="255"/>
      <c r="H8" s="260"/>
      <c r="I8" s="260"/>
      <c r="J8" s="260"/>
      <c r="K8" s="260"/>
      <c r="L8" s="260"/>
    </row>
    <row r="9" spans="1:12" ht="15">
      <c r="A9" s="256" t="s">
        <v>5</v>
      </c>
      <c r="B9" s="256"/>
      <c r="C9" s="257" t="s">
        <v>342</v>
      </c>
      <c r="D9" s="257" t="s">
        <v>348</v>
      </c>
      <c r="E9" s="257" t="s">
        <v>155</v>
      </c>
      <c r="F9" s="257" t="s">
        <v>155</v>
      </c>
      <c r="G9" s="257" t="s">
        <v>10</v>
      </c>
      <c r="H9" s="261"/>
      <c r="I9" s="260"/>
      <c r="J9" s="260"/>
      <c r="K9" s="260"/>
      <c r="L9" s="260"/>
    </row>
    <row r="10" spans="1:12" ht="15">
      <c r="A10" s="258" t="s">
        <v>349</v>
      </c>
      <c r="B10" s="258">
        <v>1</v>
      </c>
      <c r="C10" s="259">
        <f>SUM((C67*$C$63),C67)</f>
        <v>910.95500000000004</v>
      </c>
      <c r="D10" s="259">
        <f t="shared" ref="D10:G10" si="6">SUM((D67*$C$63),D67)</f>
        <v>1054.79</v>
      </c>
      <c r="E10" s="259">
        <f t="shared" si="6"/>
        <v>767.12</v>
      </c>
      <c r="F10" s="259">
        <f t="shared" ref="F10" si="7">SUM((F67*$C$63),F67)</f>
        <v>767.12</v>
      </c>
      <c r="G10" s="259">
        <f t="shared" si="6"/>
        <v>1109.425</v>
      </c>
      <c r="H10" s="261"/>
      <c r="I10" s="260"/>
      <c r="J10" s="260"/>
      <c r="K10" s="260"/>
      <c r="L10" s="260"/>
    </row>
    <row r="11" spans="1:12" ht="15">
      <c r="A11" s="258" t="s">
        <v>350</v>
      </c>
      <c r="B11" s="258"/>
      <c r="C11" s="259">
        <f>SUM((C74*$C$63),C74)</f>
        <v>863.01</v>
      </c>
      <c r="D11" s="259">
        <f t="shared" ref="D11:G11" si="8">SUM((D74*$C$63),D74)</f>
        <v>599.87</v>
      </c>
      <c r="E11" s="259">
        <f t="shared" si="8"/>
        <v>797.22500000000002</v>
      </c>
      <c r="F11" s="259">
        <f t="shared" ref="F11" si="9">SUM((F74*$C$63),F74)</f>
        <v>797.22500000000002</v>
      </c>
      <c r="G11" s="259">
        <f t="shared" si="8"/>
        <v>731.44</v>
      </c>
    </row>
    <row r="12" spans="1:12" ht="15">
      <c r="A12" s="258" t="s">
        <v>351</v>
      </c>
      <c r="B12" s="258"/>
      <c r="C12" s="259">
        <f>SUM((C81*$C$63),C81)</f>
        <v>675.69</v>
      </c>
      <c r="D12" s="259">
        <f t="shared" ref="D12:G12" si="10">SUM((D81*$C$63),D81)</f>
        <v>671.23</v>
      </c>
      <c r="E12" s="259">
        <f t="shared" si="10"/>
        <v>656.73500000000001</v>
      </c>
      <c r="F12" s="259">
        <f t="shared" ref="F12" si="11">SUM((F81*$C$63),F81)</f>
        <v>656.73500000000001</v>
      </c>
      <c r="G12" s="259">
        <f t="shared" si="10"/>
        <v>664.54</v>
      </c>
    </row>
    <row r="13" spans="1:12" ht="15">
      <c r="A13" s="255"/>
      <c r="B13" s="255"/>
      <c r="C13" s="255"/>
      <c r="D13" s="255"/>
      <c r="E13" s="255"/>
      <c r="F13" s="255"/>
      <c r="G13" s="255"/>
    </row>
    <row r="14" spans="1:12" ht="15">
      <c r="A14" s="254" t="s">
        <v>354</v>
      </c>
      <c r="B14" s="255"/>
      <c r="C14" s="255"/>
      <c r="D14" s="255"/>
      <c r="E14" s="255"/>
      <c r="F14" s="255"/>
      <c r="G14" s="255"/>
    </row>
    <row r="15" spans="1:12" ht="15">
      <c r="A15" s="256" t="s">
        <v>5</v>
      </c>
      <c r="B15" s="256"/>
      <c r="C15" s="257" t="s">
        <v>342</v>
      </c>
      <c r="D15" s="257" t="s">
        <v>348</v>
      </c>
      <c r="E15" s="257" t="s">
        <v>155</v>
      </c>
      <c r="F15" s="257" t="s">
        <v>155</v>
      </c>
      <c r="G15" s="257" t="s">
        <v>10</v>
      </c>
    </row>
    <row r="16" spans="1:12" ht="15">
      <c r="A16" s="258" t="s">
        <v>349</v>
      </c>
      <c r="B16" s="258"/>
      <c r="C16" s="259">
        <f>SUM((C68*$C$63),C68)</f>
        <v>918.76</v>
      </c>
      <c r="D16" s="259">
        <f t="shared" ref="D16:E16" si="12">SUM((D68*$C$63),D68)</f>
        <v>863.01</v>
      </c>
      <c r="E16" s="259">
        <f t="shared" si="12"/>
        <v>743.70500000000004</v>
      </c>
      <c r="F16" s="259">
        <f t="shared" ref="F16" si="13">SUM((F68*$C$63),F68)</f>
        <v>743.70500000000004</v>
      </c>
      <c r="G16" s="259">
        <f>SUM((G68*$C$63),G68)</f>
        <v>599.87</v>
      </c>
    </row>
    <row r="17" spans="1:7" ht="15">
      <c r="A17" s="258" t="s">
        <v>350</v>
      </c>
      <c r="B17" s="258"/>
      <c r="C17" s="259">
        <f>SUM((C75*$C$63),C75)</f>
        <v>863.01</v>
      </c>
      <c r="D17" s="259">
        <f t="shared" ref="D17:G17" si="14">SUM((D75*$C$63),D75)</f>
        <v>599.87</v>
      </c>
      <c r="E17" s="259">
        <f t="shared" si="14"/>
        <v>797.22500000000002</v>
      </c>
      <c r="F17" s="259">
        <f t="shared" ref="F17" si="15">SUM((F75*$C$63),F75)</f>
        <v>797.22500000000002</v>
      </c>
      <c r="G17" s="259">
        <f t="shared" si="14"/>
        <v>731.44</v>
      </c>
    </row>
    <row r="18" spans="1:7" ht="15">
      <c r="A18" s="258" t="s">
        <v>351</v>
      </c>
      <c r="B18" s="258"/>
      <c r="C18" s="259">
        <f>SUM((C82*$C$63),C82)</f>
        <v>575.34</v>
      </c>
      <c r="D18" s="259">
        <f t="shared" ref="D18:G18" si="16">SUM((D82*$C$63),D82)</f>
        <v>575.34</v>
      </c>
      <c r="E18" s="259">
        <f t="shared" si="16"/>
        <v>527.39499999999998</v>
      </c>
      <c r="F18" s="259">
        <f t="shared" ref="F18" si="17">SUM((F82*$C$63),F82)</f>
        <v>527.39499999999998</v>
      </c>
      <c r="G18" s="259">
        <f t="shared" si="16"/>
        <v>527.39499999999998</v>
      </c>
    </row>
    <row r="19" spans="1:7" ht="15">
      <c r="A19" s="255"/>
      <c r="B19" s="255"/>
      <c r="C19" s="255"/>
      <c r="D19" s="255"/>
      <c r="E19" s="255"/>
      <c r="F19" s="255"/>
      <c r="G19" s="255"/>
    </row>
    <row r="20" spans="1:7" ht="15">
      <c r="A20" s="254" t="s">
        <v>355</v>
      </c>
      <c r="B20" s="255"/>
      <c r="C20" s="255"/>
      <c r="D20" s="255"/>
      <c r="E20" s="255"/>
      <c r="F20" s="255"/>
      <c r="G20" s="255"/>
    </row>
    <row r="21" spans="1:7" ht="15">
      <c r="A21" s="256"/>
      <c r="B21" s="256"/>
      <c r="C21" s="257" t="s">
        <v>342</v>
      </c>
      <c r="D21" s="257" t="s">
        <v>348</v>
      </c>
      <c r="E21" s="257" t="s">
        <v>155</v>
      </c>
      <c r="F21" s="257" t="s">
        <v>155</v>
      </c>
      <c r="G21" s="257" t="s">
        <v>10</v>
      </c>
    </row>
    <row r="22" spans="1:7" ht="15">
      <c r="A22" s="258" t="s">
        <v>349</v>
      </c>
      <c r="B22" s="258"/>
      <c r="C22" s="259">
        <f>SUM((C69*$C$63),C69)</f>
        <v>892</v>
      </c>
      <c r="D22" s="259">
        <f t="shared" ref="D22:G22" si="18">SUM((D69*$C$63),D68)</f>
        <v>855.65</v>
      </c>
      <c r="E22" s="259">
        <f t="shared" si="18"/>
        <v>741.17499999999995</v>
      </c>
      <c r="F22" s="259">
        <f t="shared" ref="F22" si="19">SUM((F69*$C$63),F68)</f>
        <v>741.17499999999995</v>
      </c>
      <c r="G22" s="259">
        <f t="shared" si="18"/>
        <v>603.78</v>
      </c>
    </row>
    <row r="23" spans="1:7" ht="15">
      <c r="A23" s="258" t="s">
        <v>350</v>
      </c>
      <c r="B23" s="258"/>
      <c r="C23" s="259">
        <f>SUM((C76*$C$63),C76)</f>
        <v>719.17499999999995</v>
      </c>
      <c r="D23" s="259">
        <f t="shared" ref="D23:G23" si="20">SUM((D76*$C$63),D76)</f>
        <v>719.17499999999995</v>
      </c>
      <c r="E23" s="259">
        <f t="shared" si="20"/>
        <v>719.17499999999995</v>
      </c>
      <c r="F23" s="259">
        <f t="shared" ref="F23" si="21">SUM((F76*$C$63),F76)</f>
        <v>719.17499999999995</v>
      </c>
      <c r="G23" s="259">
        <f t="shared" si="20"/>
        <v>657.85</v>
      </c>
    </row>
    <row r="24" spans="1:7" ht="15">
      <c r="A24" s="258" t="s">
        <v>351</v>
      </c>
      <c r="B24" s="258"/>
      <c r="C24" s="259">
        <f>SUM((C83*$C$63),C83)</f>
        <v>535.20000000000005</v>
      </c>
      <c r="D24" s="259">
        <f t="shared" ref="D24:G24" si="22">SUM((D83*$C$63),D83)</f>
        <v>535.20000000000005</v>
      </c>
      <c r="E24" s="259">
        <f t="shared" si="22"/>
        <v>535.20000000000005</v>
      </c>
      <c r="F24" s="259">
        <f t="shared" ref="F24" si="23">SUM((F83*$C$63),F83)</f>
        <v>535.20000000000005</v>
      </c>
      <c r="G24" s="259">
        <f t="shared" si="22"/>
        <v>535.20000000000005</v>
      </c>
    </row>
    <row r="25" spans="1:7" ht="15">
      <c r="A25" s="255"/>
      <c r="B25" s="255"/>
      <c r="C25" s="255"/>
      <c r="D25" s="255"/>
      <c r="E25" s="255"/>
      <c r="F25" s="255"/>
      <c r="G25" s="255"/>
    </row>
    <row r="26" spans="1:7" ht="15">
      <c r="A26" s="254" t="s">
        <v>356</v>
      </c>
      <c r="B26" s="255"/>
      <c r="C26" s="255"/>
      <c r="D26" s="255"/>
      <c r="E26" s="255"/>
      <c r="F26" s="255"/>
      <c r="G26" s="255"/>
    </row>
    <row r="27" spans="1:7" ht="15">
      <c r="A27" s="256"/>
      <c r="B27" s="256"/>
      <c r="C27" s="257" t="s">
        <v>342</v>
      </c>
      <c r="D27" s="257" t="s">
        <v>348</v>
      </c>
      <c r="E27" s="257" t="s">
        <v>155</v>
      </c>
      <c r="F27" s="257" t="s">
        <v>155</v>
      </c>
      <c r="G27" s="257" t="s">
        <v>10</v>
      </c>
    </row>
    <row r="28" spans="1:7" ht="15">
      <c r="A28" s="258" t="s">
        <v>349</v>
      </c>
      <c r="B28" s="258"/>
      <c r="C28" s="259">
        <f>SUM((C70*$C$63),C70)</f>
        <v>1112.77</v>
      </c>
      <c r="D28" s="259">
        <f t="shared" ref="D28:G28" si="24">SUM((D70*$C$63),D70)</f>
        <v>1069.2850000000001</v>
      </c>
      <c r="E28" s="259">
        <f t="shared" si="24"/>
        <v>996.81</v>
      </c>
      <c r="F28" s="259">
        <f t="shared" ref="F28" si="25">SUM((F70*$C$63),F70)</f>
        <v>996.81</v>
      </c>
      <c r="G28" s="259">
        <f t="shared" si="24"/>
        <v>719.17499999999995</v>
      </c>
    </row>
    <row r="29" spans="1:7" ht="15">
      <c r="A29" s="258" t="s">
        <v>350</v>
      </c>
      <c r="B29" s="258"/>
      <c r="C29" s="259">
        <f>SUM((C77*$C$63),C77)</f>
        <v>575.34</v>
      </c>
      <c r="D29" s="259">
        <f t="shared" ref="D29:G29" si="26">SUM((D77*$C$63),D77)</f>
        <v>719.17499999999995</v>
      </c>
      <c r="E29" s="259">
        <f t="shared" si="26"/>
        <v>719.17499999999995</v>
      </c>
      <c r="F29" s="259">
        <f t="shared" ref="F29" si="27">SUM((F77*$C$63),F77)</f>
        <v>719.17499999999995</v>
      </c>
      <c r="G29" s="259">
        <f t="shared" si="26"/>
        <v>657.85</v>
      </c>
    </row>
    <row r="30" spans="1:7" ht="15">
      <c r="A30" s="258" t="s">
        <v>351</v>
      </c>
      <c r="B30" s="258"/>
      <c r="C30" s="259">
        <f>SUM((C84*$C$63),C84)</f>
        <v>535.20000000000005</v>
      </c>
      <c r="D30" s="259">
        <f t="shared" ref="D30:G30" si="28">SUM((D84*$C$63),D84)</f>
        <v>535.20000000000005</v>
      </c>
      <c r="E30" s="259">
        <f t="shared" si="28"/>
        <v>535.20000000000005</v>
      </c>
      <c r="F30" s="259">
        <f t="shared" ref="F30" si="29">SUM((F84*$C$63),F84)</f>
        <v>535.20000000000005</v>
      </c>
      <c r="G30" s="259">
        <f t="shared" si="28"/>
        <v>535.20000000000005</v>
      </c>
    </row>
    <row r="31" spans="1:7" ht="15">
      <c r="A31" s="255"/>
      <c r="B31" s="255"/>
      <c r="C31" s="260"/>
      <c r="D31" s="260"/>
      <c r="E31" s="260"/>
      <c r="F31" s="260"/>
      <c r="G31" s="260"/>
    </row>
    <row r="32" spans="1:7" ht="15">
      <c r="A32" s="255" t="s">
        <v>357</v>
      </c>
      <c r="B32" s="255"/>
      <c r="C32" s="260"/>
      <c r="D32" s="260"/>
      <c r="E32" s="260"/>
      <c r="F32" s="260"/>
      <c r="G32" s="260"/>
    </row>
    <row r="33" spans="1:12" ht="15">
      <c r="A33" s="375" t="s">
        <v>346</v>
      </c>
      <c r="B33" s="255"/>
      <c r="C33" s="255"/>
      <c r="D33" s="255"/>
      <c r="E33" s="255"/>
      <c r="F33" s="255"/>
      <c r="G33" s="255"/>
    </row>
    <row r="34" spans="1:12" ht="15">
      <c r="A34" s="256" t="s">
        <v>5</v>
      </c>
      <c r="B34" s="256"/>
      <c r="C34" s="257" t="s">
        <v>342</v>
      </c>
      <c r="D34" s="257" t="s">
        <v>348</v>
      </c>
      <c r="E34" s="257" t="s">
        <v>155</v>
      </c>
      <c r="F34" s="257" t="s">
        <v>155</v>
      </c>
      <c r="G34" s="257" t="s">
        <v>10</v>
      </c>
    </row>
    <row r="35" spans="1:12" ht="15">
      <c r="A35" s="258" t="s">
        <v>349</v>
      </c>
      <c r="B35" s="258"/>
      <c r="C35" s="259">
        <f>SUM((C89*$C$63),C89)</f>
        <v>669</v>
      </c>
      <c r="D35" s="259">
        <f t="shared" ref="D35:F35" si="30">SUM((D89*$C$63),D89)</f>
        <v>623.28499999999997</v>
      </c>
      <c r="E35" s="259">
        <f t="shared" si="30"/>
        <v>599.87</v>
      </c>
      <c r="F35" s="259">
        <f t="shared" si="30"/>
        <v>599.87</v>
      </c>
      <c r="G35" s="259">
        <f>SUM((G89*$C$63),G89)</f>
        <v>599.87</v>
      </c>
    </row>
    <row r="36" spans="1:12" ht="15">
      <c r="A36" s="258" t="s">
        <v>350</v>
      </c>
      <c r="B36" s="258"/>
      <c r="C36" s="259">
        <f>SUM((C96*$C$63),C96)</f>
        <v>719.17499999999995</v>
      </c>
      <c r="D36" s="259">
        <f t="shared" ref="D36:G36" si="31">SUM((D96*$C$63),D96)</f>
        <v>657.85</v>
      </c>
      <c r="E36" s="259">
        <f t="shared" si="31"/>
        <v>623.28499999999997</v>
      </c>
      <c r="F36" s="259">
        <f>SUM((F96*$C$63),F96)</f>
        <v>623.28499999999997</v>
      </c>
      <c r="G36" s="259">
        <f t="shared" si="31"/>
        <v>669</v>
      </c>
    </row>
    <row r="37" spans="1:12" ht="15">
      <c r="A37" s="258" t="s">
        <v>351</v>
      </c>
      <c r="B37" s="258"/>
      <c r="C37" s="259">
        <f>SUM((C103*$C$63),C103)</f>
        <v>623.28499999999997</v>
      </c>
      <c r="D37" s="259">
        <f t="shared" ref="D37:F37" si="32">SUM((D103*$C$63),D103)</f>
        <v>599.87</v>
      </c>
      <c r="E37" s="259">
        <f t="shared" si="32"/>
        <v>599.87</v>
      </c>
      <c r="F37" s="259">
        <f t="shared" si="32"/>
        <v>599.87</v>
      </c>
      <c r="G37" s="259">
        <f>SUM((G103*$C$63),G103)</f>
        <v>599.87</v>
      </c>
    </row>
    <row r="38" spans="1:12" ht="15">
      <c r="A38" s="255"/>
      <c r="B38" s="255"/>
      <c r="C38" s="255"/>
      <c r="D38" s="255"/>
      <c r="E38" s="255"/>
      <c r="F38" s="255"/>
      <c r="G38" s="255"/>
    </row>
    <row r="39" spans="1:12" ht="15">
      <c r="A39" s="375" t="s">
        <v>352</v>
      </c>
      <c r="B39" s="255"/>
      <c r="C39" s="255" t="s">
        <v>353</v>
      </c>
      <c r="D39" s="255"/>
      <c r="E39" s="255"/>
      <c r="F39" s="255"/>
      <c r="G39" s="255"/>
      <c r="H39" s="260"/>
      <c r="I39" s="260"/>
      <c r="J39" s="260"/>
      <c r="K39" s="260"/>
      <c r="L39" s="260"/>
    </row>
    <row r="40" spans="1:12" ht="15">
      <c r="A40" s="256" t="s">
        <v>5</v>
      </c>
      <c r="B40" s="256"/>
      <c r="C40" s="257" t="s">
        <v>342</v>
      </c>
      <c r="D40" s="257" t="s">
        <v>348</v>
      </c>
      <c r="E40" s="257" t="s">
        <v>155</v>
      </c>
      <c r="F40" s="257" t="s">
        <v>155</v>
      </c>
      <c r="G40" s="257" t="s">
        <v>10</v>
      </c>
      <c r="H40" s="261"/>
      <c r="I40" s="260"/>
      <c r="J40" s="260"/>
      <c r="K40" s="260"/>
      <c r="L40" s="260"/>
    </row>
    <row r="41" spans="1:12" ht="15">
      <c r="A41" s="258" t="s">
        <v>349</v>
      </c>
      <c r="B41" s="258">
        <v>1</v>
      </c>
      <c r="C41" s="259">
        <f>SUM((C90*$C$63),C90)</f>
        <v>685.72500000000002</v>
      </c>
      <c r="D41" s="259">
        <f t="shared" ref="D41:G41" si="33">SUM((D90*$C$63),D90)</f>
        <v>719.17499999999995</v>
      </c>
      <c r="E41" s="259">
        <f t="shared" si="33"/>
        <v>556.38499999999999</v>
      </c>
      <c r="F41" s="259">
        <f t="shared" si="33"/>
        <v>556.38499999999999</v>
      </c>
      <c r="G41" s="259">
        <f t="shared" si="33"/>
        <v>521.82000000000005</v>
      </c>
      <c r="H41" s="261"/>
      <c r="I41" s="260"/>
      <c r="J41" s="260"/>
      <c r="K41" s="260"/>
      <c r="L41" s="260"/>
    </row>
    <row r="42" spans="1:12" ht="15">
      <c r="A42" s="258" t="s">
        <v>350</v>
      </c>
      <c r="B42" s="258"/>
      <c r="C42" s="259">
        <f>SUM((C97*$C$63),C97)</f>
        <v>839.59500000000003</v>
      </c>
      <c r="D42" s="259">
        <f t="shared" ref="D42:G42" si="34">SUM((D97*$C$63),D97)</f>
        <v>599.87</v>
      </c>
      <c r="E42" s="259">
        <f t="shared" si="34"/>
        <v>599.87</v>
      </c>
      <c r="F42" s="259">
        <f t="shared" si="34"/>
        <v>599.87</v>
      </c>
      <c r="G42" s="259">
        <f t="shared" si="34"/>
        <v>599.87</v>
      </c>
    </row>
    <row r="43" spans="1:12" ht="15">
      <c r="A43" s="258" t="s">
        <v>351</v>
      </c>
      <c r="B43" s="258"/>
      <c r="C43" s="259">
        <f>SUM((C104*$C$63),C104)</f>
        <v>623.28499999999997</v>
      </c>
      <c r="D43" s="259">
        <f t="shared" ref="D43:F43" si="35">SUM((D104*$C$63),D104)</f>
        <v>623.28499999999997</v>
      </c>
      <c r="E43" s="259">
        <f t="shared" si="35"/>
        <v>599.87</v>
      </c>
      <c r="F43" s="259">
        <f t="shared" si="35"/>
        <v>599.87</v>
      </c>
      <c r="G43" s="259">
        <f>SUM((G104*$C$63),G104)</f>
        <v>479.45</v>
      </c>
    </row>
    <row r="44" spans="1:12" ht="15">
      <c r="A44" s="255"/>
      <c r="B44" s="255"/>
      <c r="C44" s="255"/>
      <c r="D44" s="255"/>
      <c r="E44" s="255"/>
      <c r="F44" s="255"/>
      <c r="G44" s="255"/>
    </row>
    <row r="45" spans="1:12" ht="15">
      <c r="A45" s="375" t="s">
        <v>354</v>
      </c>
      <c r="B45" s="255"/>
      <c r="C45" s="255"/>
      <c r="D45" s="255"/>
      <c r="E45" s="255"/>
      <c r="F45" s="255"/>
      <c r="G45" s="255"/>
    </row>
    <row r="46" spans="1:12" ht="15">
      <c r="A46" s="256" t="s">
        <v>5</v>
      </c>
      <c r="B46" s="256"/>
      <c r="C46" s="257" t="s">
        <v>342</v>
      </c>
      <c r="D46" s="257" t="s">
        <v>348</v>
      </c>
      <c r="E46" s="257" t="s">
        <v>155</v>
      </c>
      <c r="F46" s="257" t="s">
        <v>155</v>
      </c>
      <c r="G46" s="257" t="s">
        <v>10</v>
      </c>
    </row>
    <row r="47" spans="1:12" ht="15">
      <c r="A47" s="258" t="s">
        <v>349</v>
      </c>
      <c r="B47" s="258"/>
      <c r="C47" s="259">
        <f>SUM((C91*$C$63),C91)</f>
        <v>635.54999999999995</v>
      </c>
      <c r="D47" s="259">
        <f t="shared" ref="D47:F47" si="36">SUM((D91*$C$63),D91)</f>
        <v>623.28499999999997</v>
      </c>
      <c r="E47" s="259">
        <f t="shared" si="36"/>
        <v>623.28499999999997</v>
      </c>
      <c r="F47" s="259">
        <f t="shared" si="36"/>
        <v>623.28499999999997</v>
      </c>
      <c r="G47" s="259">
        <f>SUM((G91*$C$63),G91)</f>
        <v>599.87</v>
      </c>
    </row>
    <row r="48" spans="1:12" ht="15">
      <c r="A48" s="258" t="s">
        <v>350</v>
      </c>
      <c r="B48" s="258"/>
      <c r="C48" s="259">
        <f>SUM((C98*$C$63),C98)</f>
        <v>743.70500000000004</v>
      </c>
      <c r="D48" s="259">
        <f t="shared" ref="D48:F48" si="37">SUM((D98*$C$63),D98)</f>
        <v>657.85</v>
      </c>
      <c r="E48" s="259">
        <f t="shared" si="37"/>
        <v>647.81500000000005</v>
      </c>
      <c r="F48" s="259">
        <f t="shared" si="37"/>
        <v>647.81500000000005</v>
      </c>
      <c r="G48" s="259">
        <f>SUM((G98*$C$63),G98)</f>
        <v>647.81500000000005</v>
      </c>
    </row>
    <row r="49" spans="1:7" ht="15">
      <c r="A49" s="258" t="s">
        <v>351</v>
      </c>
      <c r="B49" s="258"/>
      <c r="C49" s="259">
        <f>SUM((C105*$C$63),C105)</f>
        <v>719.17499999999995</v>
      </c>
      <c r="D49" s="259">
        <f t="shared" ref="D49:F49" si="38">SUM((D105*$C$63),D105)</f>
        <v>623.28499999999997</v>
      </c>
      <c r="E49" s="259">
        <f t="shared" si="38"/>
        <v>599.87</v>
      </c>
      <c r="F49" s="259">
        <f t="shared" si="38"/>
        <v>599.87</v>
      </c>
      <c r="G49" s="259">
        <f>SUM((G105*$C$63),G105)</f>
        <v>479.45</v>
      </c>
    </row>
    <row r="50" spans="1:7" ht="15">
      <c r="A50" s="255"/>
      <c r="B50" s="255"/>
      <c r="C50" s="255"/>
      <c r="D50" s="255"/>
      <c r="E50" s="255"/>
      <c r="F50" s="255"/>
      <c r="G50" s="255"/>
    </row>
    <row r="51" spans="1:7" ht="15">
      <c r="A51" s="375" t="s">
        <v>355</v>
      </c>
      <c r="B51" s="255"/>
      <c r="C51" s="255"/>
      <c r="D51" s="255"/>
      <c r="E51" s="255"/>
      <c r="F51" s="255"/>
      <c r="G51" s="255"/>
    </row>
    <row r="52" spans="1:7" ht="15">
      <c r="A52" s="256" t="s">
        <v>5</v>
      </c>
      <c r="B52" s="256"/>
      <c r="C52" s="257" t="s">
        <v>342</v>
      </c>
      <c r="D52" s="257" t="s">
        <v>348</v>
      </c>
      <c r="E52" s="257" t="s">
        <v>155</v>
      </c>
      <c r="F52" s="257" t="s">
        <v>155</v>
      </c>
      <c r="G52" s="257" t="s">
        <v>10</v>
      </c>
    </row>
    <row r="53" spans="1:7" ht="15">
      <c r="A53" s="258" t="s">
        <v>349</v>
      </c>
      <c r="B53" s="258"/>
      <c r="C53" s="259">
        <f>SUM((C92*$C$63),C92)</f>
        <v>647.81500000000005</v>
      </c>
      <c r="D53" s="259">
        <f t="shared" ref="D53:G53" si="39">SUM((D92*$C$63),D92)</f>
        <v>647.81500000000005</v>
      </c>
      <c r="E53" s="259">
        <f t="shared" si="39"/>
        <v>623.28499999999997</v>
      </c>
      <c r="F53" s="259">
        <f t="shared" si="39"/>
        <v>623.28499999999997</v>
      </c>
      <c r="G53" s="259">
        <f t="shared" si="39"/>
        <v>527.39499999999998</v>
      </c>
    </row>
    <row r="54" spans="1:7" ht="15">
      <c r="A54" s="258" t="s">
        <v>350</v>
      </c>
      <c r="B54" s="258"/>
      <c r="C54" s="259">
        <f>SUM((C99*$C$63),C99)</f>
        <v>239.72499999999999</v>
      </c>
      <c r="D54" s="259">
        <f t="shared" ref="D54:G54" si="40">SUM((D99*$C$63),D99)</f>
        <v>239.72499999999999</v>
      </c>
      <c r="E54" s="259">
        <f t="shared" si="40"/>
        <v>239.72499999999999</v>
      </c>
      <c r="F54" s="259">
        <f t="shared" si="40"/>
        <v>239.72499999999999</v>
      </c>
      <c r="G54" s="259">
        <f t="shared" si="40"/>
        <v>239.72499999999999</v>
      </c>
    </row>
    <row r="55" spans="1:7" ht="15">
      <c r="A55" s="258" t="s">
        <v>351</v>
      </c>
      <c r="B55" s="258"/>
      <c r="C55" s="259">
        <f>SUM((C106*$C$63),C106)</f>
        <v>575.34</v>
      </c>
      <c r="D55" s="259">
        <f t="shared" ref="D55:G55" si="41">SUM((D106*$C$63),D106)</f>
        <v>575.34</v>
      </c>
      <c r="E55" s="259">
        <f t="shared" si="41"/>
        <v>479.45</v>
      </c>
      <c r="F55" s="259">
        <f t="shared" si="41"/>
        <v>479.45</v>
      </c>
      <c r="G55" s="259">
        <f t="shared" si="41"/>
        <v>479.45</v>
      </c>
    </row>
    <row r="56" spans="1:7" ht="15">
      <c r="A56" s="255"/>
      <c r="B56" s="255"/>
      <c r="C56" s="255"/>
      <c r="D56" s="255"/>
      <c r="E56" s="255"/>
      <c r="F56" s="255"/>
      <c r="G56" s="255"/>
    </row>
    <row r="57" spans="1:7" ht="15">
      <c r="A57" s="375" t="s">
        <v>356</v>
      </c>
      <c r="B57" s="255"/>
      <c r="C57" s="255"/>
      <c r="D57" s="255"/>
      <c r="E57" s="255"/>
      <c r="F57" s="255"/>
      <c r="G57" s="255"/>
    </row>
    <row r="58" spans="1:7" ht="15">
      <c r="A58" s="256" t="s">
        <v>5</v>
      </c>
      <c r="B58" s="256"/>
      <c r="C58" s="257" t="s">
        <v>342</v>
      </c>
      <c r="D58" s="257" t="s">
        <v>348</v>
      </c>
      <c r="E58" s="257" t="s">
        <v>155</v>
      </c>
      <c r="F58" s="257" t="s">
        <v>155</v>
      </c>
      <c r="G58" s="257" t="s">
        <v>10</v>
      </c>
    </row>
    <row r="59" spans="1:7" ht="15">
      <c r="A59" s="258" t="s">
        <v>349</v>
      </c>
      <c r="B59" s="258"/>
      <c r="C59" s="259">
        <f>SUM((C93*$C$63),C93)</f>
        <v>709.14</v>
      </c>
      <c r="D59" s="259">
        <f t="shared" ref="D59:G59" si="42">SUM((D93*$C$63),D93)</f>
        <v>647.81500000000005</v>
      </c>
      <c r="E59" s="259">
        <f t="shared" si="42"/>
        <v>623.28499999999997</v>
      </c>
      <c r="F59" s="259">
        <f t="shared" si="42"/>
        <v>623.28499999999997</v>
      </c>
      <c r="G59" s="259">
        <f t="shared" si="42"/>
        <v>431.505</v>
      </c>
    </row>
    <row r="60" spans="1:7" ht="15">
      <c r="A60" s="258" t="s">
        <v>350</v>
      </c>
      <c r="B60" s="258"/>
      <c r="C60" s="259">
        <f>SUM((C100*$C$63),C100)</f>
        <v>1006.845</v>
      </c>
      <c r="D60" s="259">
        <f t="shared" ref="D60:G60" si="43">SUM((D100*$C$63),D100)</f>
        <v>538.82375000000002</v>
      </c>
      <c r="E60" s="259">
        <f t="shared" si="43"/>
        <v>527.67375000000004</v>
      </c>
      <c r="F60" s="259">
        <f t="shared" si="43"/>
        <v>527.67375000000004</v>
      </c>
      <c r="G60" s="259">
        <f t="shared" si="43"/>
        <v>539.10249999999996</v>
      </c>
    </row>
    <row r="61" spans="1:7" ht="15">
      <c r="A61" s="258" t="s">
        <v>351</v>
      </c>
      <c r="B61" s="258"/>
      <c r="C61" s="259">
        <f>SUM((C107*$C$63),C107)</f>
        <v>605.44500000000005</v>
      </c>
      <c r="D61" s="259">
        <f t="shared" ref="D61:G61" si="44">SUM((D107*$C$63),D107)</f>
        <v>605.44500000000005</v>
      </c>
      <c r="E61" s="259">
        <f t="shared" si="44"/>
        <v>569.76499999999999</v>
      </c>
      <c r="F61" s="259">
        <f t="shared" si="44"/>
        <v>569.76499999999999</v>
      </c>
      <c r="G61" s="259">
        <f t="shared" si="44"/>
        <v>509.55500000000001</v>
      </c>
    </row>
    <row r="63" spans="1:7">
      <c r="C63" s="299">
        <v>0.115</v>
      </c>
      <c r="D63" s="300" t="s">
        <v>423</v>
      </c>
      <c r="G63" s="253" t="s">
        <v>424</v>
      </c>
    </row>
    <row r="64" spans="1:7">
      <c r="A64" s="253" t="s">
        <v>358</v>
      </c>
    </row>
    <row r="65" spans="1:12" ht="15">
      <c r="A65" s="298" t="s">
        <v>349</v>
      </c>
      <c r="B65" s="298"/>
      <c r="C65" s="298" t="s">
        <v>342</v>
      </c>
      <c r="D65" s="298" t="s">
        <v>348</v>
      </c>
      <c r="E65" s="257" t="s">
        <v>155</v>
      </c>
      <c r="F65" s="257" t="s">
        <v>156</v>
      </c>
      <c r="G65" s="298" t="s">
        <v>10</v>
      </c>
    </row>
    <row r="66" spans="1:12">
      <c r="A66" s="297" t="s">
        <v>359</v>
      </c>
      <c r="B66" s="297"/>
      <c r="C66" s="297">
        <v>774</v>
      </c>
      <c r="D66" s="297">
        <v>775</v>
      </c>
      <c r="E66" s="297">
        <v>753</v>
      </c>
      <c r="F66" s="297">
        <v>753</v>
      </c>
      <c r="G66" s="297">
        <v>1050</v>
      </c>
    </row>
    <row r="67" spans="1:12">
      <c r="A67" s="297" t="s">
        <v>360</v>
      </c>
      <c r="B67" s="297"/>
      <c r="C67" s="297">
        <v>817</v>
      </c>
      <c r="D67" s="297">
        <v>946</v>
      </c>
      <c r="E67" s="297">
        <v>688</v>
      </c>
      <c r="F67" s="297">
        <v>688</v>
      </c>
      <c r="G67" s="297">
        <v>995</v>
      </c>
    </row>
    <row r="68" spans="1:12">
      <c r="A68" s="297" t="s">
        <v>254</v>
      </c>
      <c r="B68" s="297"/>
      <c r="C68" s="297">
        <v>824</v>
      </c>
      <c r="D68" s="297">
        <v>774</v>
      </c>
      <c r="E68" s="297">
        <v>667</v>
      </c>
      <c r="F68" s="297">
        <v>667</v>
      </c>
      <c r="G68" s="297">
        <v>538</v>
      </c>
    </row>
    <row r="69" spans="1:12">
      <c r="A69" s="297" t="s">
        <v>226</v>
      </c>
      <c r="B69" s="297"/>
      <c r="C69" s="297">
        <v>800</v>
      </c>
      <c r="D69" s="297">
        <v>710</v>
      </c>
      <c r="E69" s="297">
        <v>645</v>
      </c>
      <c r="F69" s="297">
        <v>645</v>
      </c>
      <c r="G69" s="297">
        <v>572</v>
      </c>
    </row>
    <row r="70" spans="1:12">
      <c r="A70" s="297" t="s">
        <v>227</v>
      </c>
      <c r="B70" s="297"/>
      <c r="C70" s="297">
        <v>998</v>
      </c>
      <c r="D70" s="297">
        <v>959</v>
      </c>
      <c r="E70" s="297">
        <v>894</v>
      </c>
      <c r="F70" s="297">
        <v>894</v>
      </c>
      <c r="G70" s="297">
        <v>645</v>
      </c>
    </row>
    <row r="72" spans="1:12" ht="15">
      <c r="A72" s="298" t="s">
        <v>361</v>
      </c>
      <c r="B72" s="298"/>
      <c r="C72" s="298" t="s">
        <v>342</v>
      </c>
      <c r="D72" s="298" t="s">
        <v>348</v>
      </c>
      <c r="E72" s="257" t="s">
        <v>155</v>
      </c>
      <c r="F72" s="257" t="s">
        <v>156</v>
      </c>
      <c r="G72" s="298" t="s">
        <v>10</v>
      </c>
    </row>
    <row r="73" spans="1:12">
      <c r="A73" s="297" t="s">
        <v>359</v>
      </c>
      <c r="B73" s="297"/>
      <c r="C73" s="297">
        <v>559</v>
      </c>
      <c r="D73" s="297">
        <v>559</v>
      </c>
      <c r="E73" s="297">
        <v>559</v>
      </c>
      <c r="F73" s="297">
        <v>559</v>
      </c>
      <c r="G73" s="297">
        <v>538</v>
      </c>
    </row>
    <row r="74" spans="1:12">
      <c r="A74" s="297" t="s">
        <v>360</v>
      </c>
      <c r="B74" s="297"/>
      <c r="C74" s="297">
        <v>774</v>
      </c>
      <c r="D74" s="297">
        <v>538</v>
      </c>
      <c r="E74" s="297">
        <v>715</v>
      </c>
      <c r="F74" s="297">
        <v>715</v>
      </c>
      <c r="G74" s="297">
        <v>656</v>
      </c>
    </row>
    <row r="75" spans="1:12">
      <c r="A75" s="297" t="s">
        <v>254</v>
      </c>
      <c r="B75" s="297" t="s">
        <v>362</v>
      </c>
      <c r="C75" s="297">
        <v>774</v>
      </c>
      <c r="D75" s="297">
        <v>538</v>
      </c>
      <c r="E75" s="297">
        <v>715</v>
      </c>
      <c r="F75" s="297">
        <v>715</v>
      </c>
      <c r="G75" s="297">
        <v>656</v>
      </c>
    </row>
    <row r="76" spans="1:12">
      <c r="A76" s="297" t="s">
        <v>226</v>
      </c>
      <c r="B76" s="297"/>
      <c r="C76" s="297">
        <v>645</v>
      </c>
      <c r="D76" s="297">
        <v>645</v>
      </c>
      <c r="E76" s="297">
        <v>645</v>
      </c>
      <c r="F76" s="297">
        <v>645</v>
      </c>
      <c r="G76" s="297">
        <v>590</v>
      </c>
    </row>
    <row r="77" spans="1:12">
      <c r="A77" s="297" t="s">
        <v>227</v>
      </c>
      <c r="B77" s="297"/>
      <c r="C77" s="297">
        <v>516</v>
      </c>
      <c r="D77" s="297">
        <v>645</v>
      </c>
      <c r="E77" s="297">
        <v>645</v>
      </c>
      <c r="F77" s="297">
        <v>645</v>
      </c>
      <c r="G77" s="297">
        <v>590</v>
      </c>
      <c r="I77" s="253" t="s">
        <v>154</v>
      </c>
      <c r="J77" s="253" t="s">
        <v>363</v>
      </c>
      <c r="K77" s="253" t="s">
        <v>364</v>
      </c>
      <c r="L77" s="253" t="s">
        <v>365</v>
      </c>
    </row>
    <row r="78" spans="1:12">
      <c r="C78" s="253">
        <f>SUM(C73:C77)/5</f>
        <v>653.6</v>
      </c>
      <c r="D78" s="253">
        <f>SUM(D73:D77)/5</f>
        <v>585</v>
      </c>
      <c r="E78" s="253">
        <f>SUM(E73:E77)/5</f>
        <v>655.8</v>
      </c>
      <c r="F78" s="253">
        <f>SUM(F73:F77)/5</f>
        <v>655.8</v>
      </c>
      <c r="G78" s="253">
        <f>SUM(G73:G77)/5</f>
        <v>606</v>
      </c>
      <c r="I78" s="396">
        <f>(C78-D78)/C78</f>
        <v>0.10495716034271729</v>
      </c>
      <c r="J78" s="396">
        <f>(D78-E78)/D78</f>
        <v>-0.12102564102564095</v>
      </c>
      <c r="K78" s="396">
        <f>(E78-F78)/E78</f>
        <v>0</v>
      </c>
      <c r="L78" s="396">
        <f>(F78-G78)/F78</f>
        <v>7.5937785910338451E-2</v>
      </c>
    </row>
    <row r="79" spans="1:12" ht="15">
      <c r="A79" s="298" t="s">
        <v>366</v>
      </c>
      <c r="B79" s="298"/>
      <c r="C79" s="298" t="s">
        <v>342</v>
      </c>
      <c r="D79" s="298" t="s">
        <v>348</v>
      </c>
      <c r="E79" s="257" t="s">
        <v>155</v>
      </c>
      <c r="F79" s="257" t="s">
        <v>156</v>
      </c>
      <c r="G79" s="298" t="s">
        <v>10</v>
      </c>
    </row>
    <row r="80" spans="1:12">
      <c r="A80" s="297" t="s">
        <v>359</v>
      </c>
      <c r="B80" s="297"/>
      <c r="C80" s="297">
        <v>645</v>
      </c>
      <c r="D80" s="297">
        <v>667</v>
      </c>
      <c r="E80" s="297">
        <v>649</v>
      </c>
      <c r="F80" s="297">
        <v>649</v>
      </c>
      <c r="G80" s="297">
        <v>597</v>
      </c>
    </row>
    <row r="81" spans="1:12">
      <c r="A81" s="297" t="s">
        <v>360</v>
      </c>
      <c r="B81" s="297"/>
      <c r="C81" s="297">
        <v>606</v>
      </c>
      <c r="D81" s="297">
        <v>602</v>
      </c>
      <c r="E81" s="297">
        <v>589</v>
      </c>
      <c r="F81" s="297">
        <v>589</v>
      </c>
      <c r="G81" s="297">
        <v>596</v>
      </c>
    </row>
    <row r="82" spans="1:12">
      <c r="A82" s="297" t="s">
        <v>254</v>
      </c>
      <c r="B82" s="297"/>
      <c r="C82" s="297">
        <v>516</v>
      </c>
      <c r="D82" s="297">
        <v>516</v>
      </c>
      <c r="E82" s="297">
        <v>473</v>
      </c>
      <c r="F82" s="297">
        <v>473</v>
      </c>
      <c r="G82" s="297">
        <v>473</v>
      </c>
    </row>
    <row r="83" spans="1:12">
      <c r="A83" s="297" t="s">
        <v>226</v>
      </c>
      <c r="B83" s="297"/>
      <c r="C83" s="297">
        <v>480</v>
      </c>
      <c r="D83" s="297">
        <v>480</v>
      </c>
      <c r="E83" s="297">
        <v>480</v>
      </c>
      <c r="F83" s="297">
        <v>480</v>
      </c>
      <c r="G83" s="297">
        <v>480</v>
      </c>
    </row>
    <row r="84" spans="1:12">
      <c r="A84" s="297" t="s">
        <v>227</v>
      </c>
      <c r="B84" s="297"/>
      <c r="C84" s="297">
        <v>480</v>
      </c>
      <c r="D84" s="297">
        <v>480</v>
      </c>
      <c r="E84" s="297">
        <v>480</v>
      </c>
      <c r="F84" s="297">
        <v>480</v>
      </c>
      <c r="G84" s="297">
        <v>480</v>
      </c>
      <c r="I84" s="253" t="s">
        <v>154</v>
      </c>
      <c r="J84" s="253" t="s">
        <v>363</v>
      </c>
      <c r="K84" s="253" t="s">
        <v>364</v>
      </c>
      <c r="L84" s="253" t="s">
        <v>365</v>
      </c>
    </row>
    <row r="85" spans="1:12">
      <c r="C85" s="253">
        <f>SUM(C80:C84)/5</f>
        <v>545.4</v>
      </c>
      <c r="D85" s="253">
        <f>SUM(D80:D84)/5</f>
        <v>549</v>
      </c>
      <c r="E85" s="253">
        <f>SUM(E80:E84)/5</f>
        <v>534.20000000000005</v>
      </c>
      <c r="F85" s="253">
        <f>SUM(F80:F84)/5</f>
        <v>534.20000000000005</v>
      </c>
      <c r="G85" s="253">
        <f>SUM(G80:G84)/5</f>
        <v>525.20000000000005</v>
      </c>
      <c r="I85" s="396">
        <f>(C85-D85)/C85</f>
        <v>-6.6006600660066424E-3</v>
      </c>
      <c r="J85" s="396">
        <f>(D85-E85)/D85</f>
        <v>2.6958105646630155E-2</v>
      </c>
      <c r="K85" s="396">
        <f>(E85-F85)/E85</f>
        <v>0</v>
      </c>
      <c r="L85" s="396">
        <f>(F85-G85)/F85</f>
        <v>1.6847622613253461E-2</v>
      </c>
    </row>
    <row r="87" spans="1:12">
      <c r="A87" s="253" t="s">
        <v>367</v>
      </c>
    </row>
    <row r="88" spans="1:12" ht="15">
      <c r="A88" s="298" t="s">
        <v>349</v>
      </c>
      <c r="B88" s="298"/>
      <c r="C88" s="298" t="s">
        <v>342</v>
      </c>
      <c r="D88" s="298" t="s">
        <v>348</v>
      </c>
      <c r="E88" s="257" t="s">
        <v>155</v>
      </c>
      <c r="F88" s="257" t="s">
        <v>155</v>
      </c>
      <c r="G88" s="298" t="s">
        <v>10</v>
      </c>
    </row>
    <row r="89" spans="1:12">
      <c r="A89" s="297" t="s">
        <v>359</v>
      </c>
      <c r="B89" s="297"/>
      <c r="C89" s="297">
        <v>600</v>
      </c>
      <c r="D89" s="297">
        <v>559</v>
      </c>
      <c r="E89" s="297">
        <v>538</v>
      </c>
      <c r="F89" s="297">
        <v>538</v>
      </c>
      <c r="G89" s="297">
        <v>538</v>
      </c>
    </row>
    <row r="90" spans="1:12">
      <c r="A90" s="297" t="s">
        <v>360</v>
      </c>
      <c r="B90" s="297"/>
      <c r="C90" s="297">
        <v>615</v>
      </c>
      <c r="D90" s="297">
        <v>645</v>
      </c>
      <c r="E90" s="297">
        <v>499</v>
      </c>
      <c r="F90" s="297">
        <v>499</v>
      </c>
      <c r="G90" s="297">
        <v>468</v>
      </c>
    </row>
    <row r="91" spans="1:12">
      <c r="A91" s="297" t="s">
        <v>254</v>
      </c>
      <c r="B91" s="297"/>
      <c r="C91" s="297">
        <v>570</v>
      </c>
      <c r="D91" s="297">
        <v>559</v>
      </c>
      <c r="E91" s="297">
        <v>559</v>
      </c>
      <c r="F91" s="297">
        <v>559</v>
      </c>
      <c r="G91" s="297">
        <v>538</v>
      </c>
    </row>
    <row r="92" spans="1:12">
      <c r="A92" s="297" t="s">
        <v>226</v>
      </c>
      <c r="B92" s="297"/>
      <c r="C92" s="297">
        <v>581</v>
      </c>
      <c r="D92" s="297">
        <v>581</v>
      </c>
      <c r="E92" s="297">
        <v>559</v>
      </c>
      <c r="F92" s="297">
        <v>559</v>
      </c>
      <c r="G92" s="297">
        <v>473</v>
      </c>
    </row>
    <row r="93" spans="1:12">
      <c r="A93" s="297" t="s">
        <v>227</v>
      </c>
      <c r="B93" s="297"/>
      <c r="C93" s="297">
        <v>636</v>
      </c>
      <c r="D93" s="297">
        <v>581</v>
      </c>
      <c r="E93" s="297">
        <v>559</v>
      </c>
      <c r="F93" s="297">
        <v>559</v>
      </c>
      <c r="G93" s="297">
        <v>387</v>
      </c>
    </row>
    <row r="95" spans="1:12" ht="15">
      <c r="A95" s="298" t="s">
        <v>361</v>
      </c>
      <c r="B95" s="298"/>
      <c r="C95" s="298" t="s">
        <v>342</v>
      </c>
      <c r="D95" s="298" t="s">
        <v>348</v>
      </c>
      <c r="E95" s="257" t="s">
        <v>155</v>
      </c>
      <c r="F95" s="257" t="s">
        <v>155</v>
      </c>
      <c r="G95" s="298" t="s">
        <v>10</v>
      </c>
    </row>
    <row r="96" spans="1:12">
      <c r="A96" s="297" t="s">
        <v>359</v>
      </c>
      <c r="B96" s="297"/>
      <c r="C96" s="297">
        <v>645</v>
      </c>
      <c r="D96" s="297">
        <v>590</v>
      </c>
      <c r="E96" s="297">
        <v>559</v>
      </c>
      <c r="F96" s="297">
        <v>559</v>
      </c>
      <c r="G96" s="297">
        <v>600</v>
      </c>
    </row>
    <row r="97" spans="1:12">
      <c r="A97" s="297" t="s">
        <v>360</v>
      </c>
      <c r="B97" s="297"/>
      <c r="C97" s="297">
        <v>753</v>
      </c>
      <c r="D97" s="297">
        <v>538</v>
      </c>
      <c r="E97" s="297">
        <v>538</v>
      </c>
      <c r="F97" s="297">
        <v>538</v>
      </c>
      <c r="G97" s="297">
        <v>538</v>
      </c>
    </row>
    <row r="98" spans="1:12">
      <c r="A98" s="297" t="s">
        <v>254</v>
      </c>
      <c r="B98" s="297" t="s">
        <v>362</v>
      </c>
      <c r="C98" s="297">
        <v>667</v>
      </c>
      <c r="D98" s="297">
        <v>590</v>
      </c>
      <c r="E98" s="297">
        <v>581</v>
      </c>
      <c r="F98" s="297">
        <v>581</v>
      </c>
      <c r="G98" s="297">
        <v>581</v>
      </c>
    </row>
    <row r="99" spans="1:12">
      <c r="A99" s="297" t="s">
        <v>226</v>
      </c>
      <c r="B99" s="297"/>
      <c r="C99" s="376">
        <v>215</v>
      </c>
      <c r="D99" s="297">
        <v>215</v>
      </c>
      <c r="E99" s="297">
        <v>215</v>
      </c>
      <c r="F99" s="297">
        <v>215</v>
      </c>
      <c r="G99" s="297">
        <v>215</v>
      </c>
    </row>
    <row r="100" spans="1:12">
      <c r="A100" s="297" t="s">
        <v>227</v>
      </c>
      <c r="B100" s="297"/>
      <c r="C100" s="297">
        <v>903</v>
      </c>
      <c r="D100" s="376">
        <f>AVERAGE(D96:D99)</f>
        <v>483.25</v>
      </c>
      <c r="E100" s="376">
        <f>AVERAGE(E96:E99)</f>
        <v>473.25</v>
      </c>
      <c r="F100" s="376">
        <f>AVERAGE(F96:F99)</f>
        <v>473.25</v>
      </c>
      <c r="G100" s="376">
        <f>AVERAGE(G96:G99)</f>
        <v>483.5</v>
      </c>
      <c r="I100" s="253" t="s">
        <v>154</v>
      </c>
      <c r="J100" s="253" t="s">
        <v>363</v>
      </c>
      <c r="K100" s="253" t="s">
        <v>364</v>
      </c>
      <c r="L100" s="253" t="s">
        <v>365</v>
      </c>
    </row>
    <row r="101" spans="1:12">
      <c r="C101" s="253">
        <f>SUM(C96:C100)/5</f>
        <v>636.6</v>
      </c>
      <c r="D101" s="253">
        <f>SUM(D96:D100)/5</f>
        <v>483.25</v>
      </c>
      <c r="E101" s="253">
        <f>SUM(E96:E100)/5</f>
        <v>473.25</v>
      </c>
      <c r="F101" s="253">
        <f>SUM(F96:F100)/5</f>
        <v>473.25</v>
      </c>
      <c r="G101" s="253">
        <f>SUM(G96:G100)/5</f>
        <v>483.5</v>
      </c>
      <c r="I101" s="396">
        <f>(C101-D101)/C101</f>
        <v>0.24088909833490421</v>
      </c>
      <c r="J101" s="396">
        <f>(D101-E101)/D101</f>
        <v>2.0693222969477496E-2</v>
      </c>
      <c r="K101" s="396">
        <f>(E101-F101)/E101</f>
        <v>0</v>
      </c>
      <c r="L101" s="396">
        <f>(F101-G101)/F101</f>
        <v>-2.1658742736397254E-2</v>
      </c>
    </row>
    <row r="102" spans="1:12" ht="15">
      <c r="A102" s="298" t="s">
        <v>366</v>
      </c>
      <c r="B102" s="298"/>
      <c r="C102" s="298" t="s">
        <v>342</v>
      </c>
      <c r="D102" s="298" t="s">
        <v>348</v>
      </c>
      <c r="E102" s="257" t="s">
        <v>155</v>
      </c>
      <c r="F102" s="257" t="s">
        <v>155</v>
      </c>
      <c r="G102" s="298" t="s">
        <v>10</v>
      </c>
    </row>
    <row r="103" spans="1:12">
      <c r="A103" s="297" t="s">
        <v>359</v>
      </c>
      <c r="B103" s="297"/>
      <c r="C103" s="297">
        <v>559</v>
      </c>
      <c r="D103" s="297">
        <v>538</v>
      </c>
      <c r="E103" s="297">
        <v>538</v>
      </c>
      <c r="F103" s="297">
        <v>538</v>
      </c>
      <c r="G103" s="297">
        <v>538</v>
      </c>
    </row>
    <row r="104" spans="1:12">
      <c r="A104" s="297" t="s">
        <v>360</v>
      </c>
      <c r="B104" s="297"/>
      <c r="C104" s="376">
        <f>D104</f>
        <v>559</v>
      </c>
      <c r="D104" s="376">
        <f>D105</f>
        <v>559</v>
      </c>
      <c r="E104" s="376">
        <f>E105</f>
        <v>538</v>
      </c>
      <c r="F104" s="376">
        <f>F105</f>
        <v>538</v>
      </c>
      <c r="G104" s="376">
        <f>G105</f>
        <v>430</v>
      </c>
    </row>
    <row r="105" spans="1:12">
      <c r="A105" s="297" t="s">
        <v>254</v>
      </c>
      <c r="B105" s="297"/>
      <c r="C105" s="297">
        <v>645</v>
      </c>
      <c r="D105" s="297">
        <v>559</v>
      </c>
      <c r="E105" s="297">
        <v>538</v>
      </c>
      <c r="F105" s="297">
        <v>538</v>
      </c>
      <c r="G105" s="297">
        <v>430</v>
      </c>
    </row>
    <row r="106" spans="1:12">
      <c r="A106" s="297" t="s">
        <v>226</v>
      </c>
      <c r="B106" s="297"/>
      <c r="C106" s="297">
        <v>516</v>
      </c>
      <c r="D106" s="297">
        <v>516</v>
      </c>
      <c r="E106" s="297">
        <v>430</v>
      </c>
      <c r="F106" s="297">
        <v>430</v>
      </c>
      <c r="G106" s="297">
        <v>430</v>
      </c>
    </row>
    <row r="107" spans="1:12">
      <c r="A107" s="297" t="s">
        <v>227</v>
      </c>
      <c r="B107" s="297"/>
      <c r="C107" s="376">
        <f>D107</f>
        <v>543</v>
      </c>
      <c r="D107" s="376">
        <f>AVERAGE(D103:D106)</f>
        <v>543</v>
      </c>
      <c r="E107" s="376">
        <f>AVERAGE(E103:E106)</f>
        <v>511</v>
      </c>
      <c r="F107" s="376">
        <f>AVERAGE(F103:F106)</f>
        <v>511</v>
      </c>
      <c r="G107" s="376">
        <f>AVERAGE(G103:G106)</f>
        <v>457</v>
      </c>
      <c r="I107" s="253" t="s">
        <v>154</v>
      </c>
      <c r="J107" s="253" t="s">
        <v>363</v>
      </c>
      <c r="K107" s="253" t="s">
        <v>364</v>
      </c>
      <c r="L107" s="253" t="s">
        <v>365</v>
      </c>
    </row>
    <row r="108" spans="1:12">
      <c r="C108" s="395">
        <f>SUM(C103,C105,C107)/3</f>
        <v>582.33333333333337</v>
      </c>
      <c r="D108" s="395">
        <f>SUM(D103,D105,D107)/3</f>
        <v>546.66666666666663</v>
      </c>
      <c r="E108" s="253">
        <f>SUM(E103,E105,E107)/3</f>
        <v>529</v>
      </c>
      <c r="F108" s="253">
        <f>SUM(F103,F105,F107)/3</f>
        <v>529</v>
      </c>
      <c r="G108" s="253">
        <f>SUM(G103,G105,G107)/3</f>
        <v>475</v>
      </c>
      <c r="I108" s="396">
        <f>(C108-D108)/C108</f>
        <v>6.1247853463079691E-2</v>
      </c>
      <c r="J108" s="396">
        <f>(D108-E108)/D108</f>
        <v>3.2317073170731639E-2</v>
      </c>
      <c r="K108" s="396">
        <f>(E108-F108)/E108</f>
        <v>0</v>
      </c>
      <c r="L108" s="396">
        <f>(F108-G108)/F108</f>
        <v>0.10207939508506617</v>
      </c>
    </row>
  </sheetData>
  <hyperlinks>
    <hyperlink ref="I2" r:id="rId1" xr:uid="{A510D21D-F439-B64F-A834-8C1B2BAC7CE1}"/>
  </hyperlinks>
  <pageMargins left="0.7" right="0.7" top="0.75" bottom="0.75" header="0.3" footer="0.3"/>
  <pageSetup orientation="portrait" horizontalDpi="4294967293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activeCell="M25" sqref="M25"/>
    </sheetView>
  </sheetViews>
  <sheetFormatPr baseColWidth="10" defaultColWidth="8.83203125" defaultRowHeight="13"/>
  <cols>
    <col min="1" max="1" width="13.83203125" style="115" customWidth="1"/>
    <col min="2" max="2" width="8.83203125" style="115"/>
    <col min="3" max="3" width="9.6640625" style="115" customWidth="1"/>
    <col min="4" max="16384" width="8.83203125" style="115"/>
  </cols>
  <sheetData>
    <row r="1" spans="1:20">
      <c r="A1" s="115" t="s">
        <v>368</v>
      </c>
      <c r="G1" s="22" t="s">
        <v>411</v>
      </c>
      <c r="L1" s="121"/>
    </row>
    <row r="2" spans="1:20">
      <c r="A2" s="115" t="s">
        <v>369</v>
      </c>
    </row>
    <row r="3" spans="1:20" ht="25.75" customHeight="1">
      <c r="A3" s="118" t="s">
        <v>412</v>
      </c>
    </row>
    <row r="4" spans="1:20">
      <c r="A4" s="120" t="s">
        <v>349</v>
      </c>
      <c r="H4" s="249"/>
      <c r="I4" s="250" t="s">
        <v>370</v>
      </c>
    </row>
    <row r="5" spans="1:20" ht="28">
      <c r="A5" s="119" t="s">
        <v>371</v>
      </c>
      <c r="D5" s="152" t="s">
        <v>372</v>
      </c>
      <c r="E5" s="251" t="s">
        <v>373</v>
      </c>
      <c r="F5" s="152" t="s">
        <v>374</v>
      </c>
      <c r="H5" s="119" t="s">
        <v>375</v>
      </c>
      <c r="J5" s="115" t="s">
        <v>183</v>
      </c>
      <c r="L5" s="115" t="s">
        <v>376</v>
      </c>
      <c r="R5" s="152"/>
      <c r="S5" s="251"/>
      <c r="T5" s="152"/>
    </row>
    <row r="6" spans="1:20">
      <c r="A6" s="115" t="s">
        <v>377</v>
      </c>
      <c r="B6" s="115" t="s">
        <v>378</v>
      </c>
      <c r="D6" s="139">
        <v>0.33</v>
      </c>
      <c r="E6" s="139">
        <v>0.35</v>
      </c>
      <c r="F6" s="139">
        <v>0.09</v>
      </c>
      <c r="H6" s="139">
        <f>SUM(D6,E6,2*F6)</f>
        <v>0.85999999999999988</v>
      </c>
      <c r="J6" s="252">
        <f>5*H6</f>
        <v>4.2999999999999989</v>
      </c>
      <c r="L6" s="139">
        <f>D6+(2*F6)</f>
        <v>0.51</v>
      </c>
    </row>
    <row r="7" spans="1:20">
      <c r="A7" s="115" t="s">
        <v>379</v>
      </c>
      <c r="B7" s="115" t="s">
        <v>380</v>
      </c>
      <c r="D7" s="139">
        <v>1.67</v>
      </c>
      <c r="E7" s="139">
        <v>3.26</v>
      </c>
      <c r="F7" s="139">
        <v>0.5</v>
      </c>
      <c r="H7" s="139">
        <f>SUM(D7,E7,2*F7)</f>
        <v>5.93</v>
      </c>
      <c r="J7" s="252">
        <f>5*H7</f>
        <v>29.65</v>
      </c>
      <c r="L7" s="139">
        <f>D7+(2*F7)</f>
        <v>2.67</v>
      </c>
      <c r="O7" s="139"/>
    </row>
    <row r="8" spans="1:20">
      <c r="A8" s="115" t="s">
        <v>381</v>
      </c>
      <c r="B8" s="115" t="s">
        <v>382</v>
      </c>
      <c r="D8" s="139">
        <v>1.97</v>
      </c>
      <c r="E8" s="139">
        <v>3.66</v>
      </c>
      <c r="F8" s="139">
        <v>1</v>
      </c>
      <c r="H8" s="139">
        <f>SUM(D8,E8,2*F8)</f>
        <v>7.63</v>
      </c>
      <c r="J8" s="252">
        <f>5*H8</f>
        <v>38.15</v>
      </c>
      <c r="L8" s="139">
        <f>D8+(2*F8)</f>
        <v>3.9699999999999998</v>
      </c>
      <c r="O8" s="139"/>
    </row>
    <row r="9" spans="1:20">
      <c r="D9" s="139"/>
      <c r="E9" s="139"/>
      <c r="F9" s="139"/>
      <c r="I9" s="115" t="s">
        <v>383</v>
      </c>
      <c r="J9" s="139">
        <f>AVERAGE(J6:J8)</f>
        <v>24.033333333333331</v>
      </c>
    </row>
    <row r="10" spans="1:20">
      <c r="H10" s="250" t="s">
        <v>384</v>
      </c>
    </row>
    <row r="12" spans="1:20">
      <c r="A12" s="120" t="s">
        <v>385</v>
      </c>
    </row>
    <row r="13" spans="1:20" ht="28">
      <c r="B13" s="152" t="s">
        <v>372</v>
      </c>
      <c r="C13" s="251" t="s">
        <v>373</v>
      </c>
      <c r="D13" s="152" t="s">
        <v>374</v>
      </c>
      <c r="E13" s="115" t="s">
        <v>386</v>
      </c>
      <c r="F13" s="115" t="s">
        <v>69</v>
      </c>
    </row>
    <row r="14" spans="1:20">
      <c r="A14" s="115" t="s">
        <v>387</v>
      </c>
      <c r="B14" s="139">
        <v>1.4</v>
      </c>
      <c r="C14" s="139">
        <v>2.63</v>
      </c>
      <c r="D14" s="139">
        <v>0.78</v>
      </c>
      <c r="E14" s="139">
        <f>SUM(B14,C14,D14*2)</f>
        <v>5.59</v>
      </c>
      <c r="F14" s="139">
        <f>E14*5</f>
        <v>27.95</v>
      </c>
      <c r="H14" s="115" t="s">
        <v>379</v>
      </c>
    </row>
    <row r="15" spans="1:20">
      <c r="A15" s="115" t="s">
        <v>388</v>
      </c>
      <c r="B15" s="139">
        <v>0.51</v>
      </c>
      <c r="C15" s="139">
        <v>1.59</v>
      </c>
      <c r="D15" s="139">
        <v>0.21</v>
      </c>
      <c r="E15" s="139">
        <f>SUM(B15,C15,D15*2)</f>
        <v>2.52</v>
      </c>
      <c r="F15" s="139">
        <f>E15*5</f>
        <v>12.6</v>
      </c>
      <c r="H15" s="115" t="s">
        <v>377</v>
      </c>
    </row>
    <row r="18" spans="2:10">
      <c r="B18" s="120"/>
      <c r="H18" s="250"/>
    </row>
    <row r="19" spans="2:10">
      <c r="D19" s="152"/>
      <c r="E19" s="251"/>
      <c r="F19" s="152"/>
      <c r="H19" s="119"/>
    </row>
    <row r="20" spans="2:10">
      <c r="D20" s="137"/>
      <c r="E20" s="137"/>
      <c r="F20" s="137"/>
      <c r="H20" s="139"/>
      <c r="J20" s="139"/>
    </row>
    <row r="21" spans="2:10">
      <c r="D21" s="137"/>
      <c r="E21" s="137"/>
      <c r="F21" s="137"/>
      <c r="H21" s="139"/>
      <c r="J21" s="139"/>
    </row>
    <row r="23" spans="2:10">
      <c r="B23" s="124"/>
      <c r="C23" s="124"/>
      <c r="D23" s="124"/>
    </row>
    <row r="24" spans="2:10">
      <c r="B24" s="124"/>
      <c r="C24" s="124"/>
      <c r="D24" s="124"/>
    </row>
    <row r="25" spans="2:10">
      <c r="B25" s="124"/>
      <c r="C25" s="124"/>
      <c r="D25" s="124"/>
    </row>
    <row r="26" spans="2:10">
      <c r="B26" s="124"/>
      <c r="C26" s="124"/>
      <c r="D26" s="124"/>
    </row>
    <row r="27" spans="2:10">
      <c r="B27" s="124"/>
    </row>
    <row r="33" spans="2:8">
      <c r="B33" s="342"/>
      <c r="C33" s="124"/>
      <c r="D33" s="124"/>
    </row>
    <row r="34" spans="2:8">
      <c r="B34" s="342"/>
      <c r="C34" s="124"/>
      <c r="D34" s="124"/>
    </row>
    <row r="35" spans="2:8">
      <c r="B35" s="342"/>
      <c r="C35" s="124"/>
      <c r="D35" s="124"/>
    </row>
    <row r="36" spans="2:8">
      <c r="B36" s="342"/>
      <c r="C36" s="124"/>
      <c r="D36" s="124"/>
    </row>
    <row r="37" spans="2:8">
      <c r="B37" s="342"/>
    </row>
    <row r="42" spans="2:8">
      <c r="B42" s="342"/>
      <c r="C42" s="124"/>
      <c r="D42" s="124"/>
      <c r="F42" s="124"/>
      <c r="G42" s="124"/>
      <c r="H42" s="124"/>
    </row>
    <row r="43" spans="2:8">
      <c r="B43" s="342"/>
      <c r="C43" s="124"/>
      <c r="D43" s="124"/>
      <c r="F43" s="124"/>
      <c r="G43" s="124"/>
      <c r="H43" s="124"/>
    </row>
    <row r="44" spans="2:8">
      <c r="B44" s="342"/>
      <c r="C44" s="124"/>
      <c r="D44" s="124"/>
      <c r="F44" s="124"/>
      <c r="G44" s="124"/>
      <c r="H44" s="124"/>
    </row>
    <row r="45" spans="2:8">
      <c r="B45" s="342"/>
      <c r="C45" s="124"/>
      <c r="D45" s="124"/>
      <c r="F45" s="124"/>
      <c r="G45" s="124"/>
      <c r="H45" s="124"/>
    </row>
    <row r="49" spans="1:8">
      <c r="A49" s="29"/>
      <c r="B49" s="29"/>
      <c r="C49" s="29"/>
      <c r="D49" s="29"/>
    </row>
    <row r="50" spans="1:8">
      <c r="A50" s="29"/>
      <c r="B50" s="342"/>
      <c r="C50" s="15"/>
      <c r="D50" s="15"/>
      <c r="F50" s="15"/>
      <c r="G50" s="15"/>
      <c r="H50" s="15"/>
    </row>
    <row r="51" spans="1:8">
      <c r="A51" s="29"/>
      <c r="B51" s="342"/>
      <c r="C51" s="15"/>
      <c r="D51" s="15"/>
      <c r="F51" s="15"/>
      <c r="G51" s="15"/>
      <c r="H51" s="15"/>
    </row>
    <row r="52" spans="1:8">
      <c r="A52" s="29"/>
      <c r="B52" s="342"/>
      <c r="C52" s="15"/>
      <c r="D52" s="15"/>
      <c r="F52" s="15"/>
      <c r="G52" s="15"/>
      <c r="H52" s="15"/>
    </row>
    <row r="53" spans="1:8">
      <c r="A53" s="29"/>
      <c r="B53" s="342"/>
      <c r="C53" s="15"/>
      <c r="D53" s="15"/>
      <c r="F53" s="15"/>
      <c r="G53" s="15"/>
      <c r="H53" s="15"/>
    </row>
    <row r="57" spans="1:8">
      <c r="A57" s="29"/>
      <c r="B57" s="29"/>
      <c r="C57" s="29"/>
      <c r="D57" s="29"/>
    </row>
    <row r="58" spans="1:8">
      <c r="A58" s="29"/>
      <c r="B58" s="342"/>
      <c r="C58" s="15"/>
      <c r="D58" s="15"/>
    </row>
    <row r="59" spans="1:8">
      <c r="A59" s="29"/>
      <c r="B59" s="342"/>
      <c r="C59" s="15"/>
      <c r="D59" s="15"/>
    </row>
    <row r="60" spans="1:8">
      <c r="A60" s="29"/>
      <c r="B60" s="342"/>
      <c r="C60" s="15"/>
      <c r="D60" s="15"/>
    </row>
    <row r="61" spans="1:8">
      <c r="A61" s="29"/>
      <c r="B61" s="342"/>
      <c r="C61" s="15"/>
      <c r="D61" s="15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F56-8D2A-8049-AC02-840ED838700A}">
  <sheetPr codeName="Sheet11">
    <tabColor theme="5" tint="0.39997558519241921"/>
  </sheetPr>
  <dimension ref="A1:J32"/>
  <sheetViews>
    <sheetView workbookViewId="0">
      <selection activeCell="F64" sqref="F64"/>
    </sheetView>
  </sheetViews>
  <sheetFormatPr baseColWidth="10" defaultColWidth="8.83203125" defaultRowHeight="13"/>
  <cols>
    <col min="1" max="1" width="20.83203125" style="115" customWidth="1"/>
    <col min="2" max="3" width="13.33203125" style="115" customWidth="1"/>
    <col min="4" max="4" width="14.6640625" style="115" customWidth="1"/>
    <col min="5" max="5" width="15.83203125" style="115" customWidth="1"/>
    <col min="6" max="6" width="13" style="115" customWidth="1"/>
    <col min="7" max="16384" width="8.83203125" style="115"/>
  </cols>
  <sheetData>
    <row r="1" spans="1:10">
      <c r="B1" s="115" t="s">
        <v>389</v>
      </c>
      <c r="J1" s="115" t="s">
        <v>390</v>
      </c>
    </row>
    <row r="2" spans="1:10">
      <c r="A2" s="264" t="s">
        <v>391</v>
      </c>
      <c r="B2" s="626" t="s">
        <v>392</v>
      </c>
      <c r="C2" s="626"/>
      <c r="D2" s="626"/>
      <c r="E2" s="269" t="s">
        <v>60</v>
      </c>
      <c r="J2" s="115" t="s">
        <v>393</v>
      </c>
    </row>
    <row r="3" spans="1:10" ht="15" customHeight="1">
      <c r="A3" s="265"/>
      <c r="B3" s="266" t="s">
        <v>394</v>
      </c>
      <c r="C3" s="266" t="s">
        <v>395</v>
      </c>
      <c r="D3" s="266" t="s">
        <v>396</v>
      </c>
      <c r="E3" s="270" t="s">
        <v>397</v>
      </c>
      <c r="F3" s="119" t="s">
        <v>398</v>
      </c>
    </row>
    <row r="4" spans="1:10" ht="13" customHeight="1">
      <c r="B4" s="268"/>
      <c r="C4" s="128">
        <v>700</v>
      </c>
      <c r="D4" s="128">
        <v>875</v>
      </c>
      <c r="E4" s="271">
        <v>875</v>
      </c>
      <c r="F4" s="128">
        <v>400</v>
      </c>
      <c r="G4" s="128"/>
      <c r="H4" s="128"/>
      <c r="I4" s="128"/>
      <c r="J4" s="128"/>
    </row>
    <row r="5" spans="1:10" ht="15.75" customHeight="1">
      <c r="B5" s="267"/>
      <c r="C5" s="267"/>
      <c r="D5" s="267"/>
      <c r="E5" s="271"/>
      <c r="F5" s="128"/>
      <c r="G5" s="128"/>
      <c r="H5" s="128"/>
      <c r="I5" s="128"/>
      <c r="J5" s="128"/>
    </row>
    <row r="6" spans="1:10">
      <c r="A6" s="115" t="s">
        <v>399</v>
      </c>
      <c r="B6" s="124">
        <f>B4*12</f>
        <v>0</v>
      </c>
      <c r="C6" s="124">
        <f>C4*12</f>
        <v>8400</v>
      </c>
      <c r="D6" s="124">
        <f>D4*12</f>
        <v>10500</v>
      </c>
      <c r="E6" s="124">
        <f>E4*12</f>
        <v>10500</v>
      </c>
      <c r="F6" s="124">
        <f>F4*12</f>
        <v>4800</v>
      </c>
      <c r="I6" s="22" t="s">
        <v>400</v>
      </c>
    </row>
    <row r="7" spans="1:10">
      <c r="A7" s="120" t="s">
        <v>401</v>
      </c>
      <c r="B7" s="283">
        <f>B4*10</f>
        <v>0</v>
      </c>
      <c r="C7" s="283">
        <f>C4*10</f>
        <v>7000</v>
      </c>
      <c r="D7" s="283">
        <f>D4*10</f>
        <v>8750</v>
      </c>
      <c r="E7" s="283">
        <f>E4*10</f>
        <v>8750</v>
      </c>
      <c r="F7" s="283">
        <f>F4*10</f>
        <v>4000</v>
      </c>
    </row>
    <row r="8" spans="1:10">
      <c r="C8" s="124"/>
      <c r="D8" s="124"/>
    </row>
    <row r="30" spans="3:3" ht="18">
      <c r="C30" s="282"/>
    </row>
    <row r="31" spans="3:3" ht="18">
      <c r="C31" s="282"/>
    </row>
    <row r="32" spans="3:3" ht="18">
      <c r="C32" s="282"/>
    </row>
  </sheetData>
  <mergeCells count="1">
    <mergeCell ref="B2:D2"/>
  </mergeCells>
  <hyperlinks>
    <hyperlink ref="I6" r:id="rId1" xr:uid="{CA6A34F3-5C20-E94A-BBAE-92DD9D79EC74}"/>
  </hyperlinks>
  <pageMargins left="0.7" right="0.7" top="0.75" bottom="0.75" header="0.3" footer="0.3"/>
  <pageSetup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8EA-FE0C-CC4D-92CA-E23E27164D6F}">
  <sheetPr codeName="Sheet12">
    <tabColor theme="1"/>
  </sheetPr>
  <dimension ref="A1:A6"/>
  <sheetViews>
    <sheetView zoomScale="140" zoomScaleNormal="140" workbookViewId="0">
      <selection activeCell="F64" sqref="F64"/>
    </sheetView>
  </sheetViews>
  <sheetFormatPr baseColWidth="10" defaultRowHeight="13"/>
  <sheetData>
    <row r="1" spans="1:1">
      <c r="A1" s="171" t="s">
        <v>418</v>
      </c>
    </row>
    <row r="2" spans="1:1">
      <c r="A2" s="29" t="s">
        <v>419</v>
      </c>
    </row>
    <row r="3" spans="1:1">
      <c r="A3" s="29" t="s">
        <v>420</v>
      </c>
    </row>
    <row r="4" spans="1:1">
      <c r="A4" s="29" t="s">
        <v>421</v>
      </c>
    </row>
    <row r="5" spans="1:1">
      <c r="A5" s="29" t="s">
        <v>422</v>
      </c>
    </row>
    <row r="6" spans="1:1">
      <c r="A6" s="29" t="s">
        <v>426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3" ma:contentTypeDescription="Create a new document." ma:contentTypeScope="" ma:versionID="ad668d500b05626319e9345977462635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ee49744f036cdf896ee80a7cf26378b4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1BE58-CCC7-43E4-BAB4-B18A6DAE48D8}">
  <ds:schemaRefs>
    <ds:schemaRef ds:uri="http://purl.org/dc/terms/"/>
    <ds:schemaRef ds:uri="10e25aaf-7277-47a3-ac6f-8bf087b3d215"/>
    <ds:schemaRef ds:uri="http://purl.org/dc/dcmitype/"/>
    <ds:schemaRef ds:uri="http://www.w3.org/XML/1998/namespace"/>
    <ds:schemaRef ds:uri="http://schemas.microsoft.com/office/2006/metadata/properties"/>
    <ds:schemaRef ds:uri="db02e63f-c57a-4094-ac27-81bb96728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AFAE3A-0ABB-44AC-939A-5849284B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2e63f-c57a-4094-ac27-81bb96728ce4"/>
    <ds:schemaRef ds:uri="10e25aaf-7277-47a3-ac6f-8bf087b3d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54</vt:i4>
      </vt:variant>
    </vt:vector>
  </HeadingPairs>
  <TitlesOfParts>
    <vt:vector size="66" baseType="lpstr">
      <vt:lpstr>VariablesINPUT-CTR</vt:lpstr>
      <vt:lpstr>Quality Center Profile</vt:lpstr>
      <vt:lpstr>VariablesINPUT-FCC</vt:lpstr>
      <vt:lpstr>QualityHomeProfile</vt:lpstr>
      <vt:lpstr>Ratios</vt:lpstr>
      <vt:lpstr>Wages</vt:lpstr>
      <vt:lpstr>Nonpersonnel</vt:lpstr>
      <vt:lpstr>Subsidy rates</vt:lpstr>
      <vt:lpstr>Tuition Rates</vt:lpstr>
      <vt:lpstr>Fed CACFP</vt:lpstr>
      <vt:lpstr>PreK</vt:lpstr>
      <vt:lpstr>NOTES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GRT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NP_MgtAdmin</vt:lpstr>
      <vt:lpstr>NP_Occupancy</vt:lpstr>
      <vt:lpstr>Occupancy</vt:lpstr>
      <vt:lpstr>Paid_Leave</vt:lpstr>
      <vt:lpstr>PaidLeaveFCC</vt:lpstr>
      <vt:lpstr>Personnel</vt:lpstr>
      <vt:lpstr>Pre3Children</vt:lpstr>
      <vt:lpstr>Pre4Children</vt:lpstr>
      <vt:lpstr>Pre4classroom</vt:lpstr>
      <vt:lpstr>Preschoolers</vt:lpstr>
      <vt:lpstr>PreschoolersClassroom</vt:lpstr>
      <vt:lpstr>PreschoolersClassroom3</vt:lpstr>
      <vt:lpstr>QualityHomeProfile!Print_Area</vt:lpstr>
      <vt:lpstr>'VariablesINPUT-CTR'!Print_Area</vt:lpstr>
      <vt:lpstr>'VariablesINPUT-FCC'!Print_Area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Manager/>
  <Company>Early Childhood Policy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Mitchell</dc:creator>
  <cp:keywords/>
  <dc:description/>
  <cp:lastModifiedBy>Simon Workman</cp:lastModifiedBy>
  <cp:revision/>
  <dcterms:created xsi:type="dcterms:W3CDTF">2008-09-19T15:38:02Z</dcterms:created>
  <dcterms:modified xsi:type="dcterms:W3CDTF">2023-05-08T19:52:09Z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13;#Jeanna Capito [P5FS]</vt:lpwstr>
  </property>
</Properties>
</file>